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ocuments\McGH\Brealey Principles 12e\Excel solutions\"/>
    </mc:Choice>
  </mc:AlternateContent>
  <bookViews>
    <workbookView xWindow="360" yWindow="45" windowWidth="21075" windowHeight="10545" tabRatio="881" firstSheet="13" activeTab="28"/>
  </bookViews>
  <sheets>
    <sheet name="Pr 2-01" sheetId="25" r:id="rId1"/>
    <sheet name="Pr 2-02" sheetId="1" r:id="rId2"/>
    <sheet name="Pr 2-03" sheetId="2" r:id="rId3"/>
    <sheet name="Pr 2-04" sheetId="3" r:id="rId4"/>
    <sheet name="Pr 2-06" sheetId="4" r:id="rId5"/>
    <sheet name="Pr 2-07" sheetId="5" r:id="rId6"/>
    <sheet name="Pr 2-08" sheetId="6" r:id="rId7"/>
    <sheet name="Pr 2-09" sheetId="7" r:id="rId8"/>
    <sheet name="Pr 2-10" sheetId="8" r:id="rId9"/>
    <sheet name="Pr 2-11" sheetId="9" r:id="rId10"/>
    <sheet name="Pr 2-12" sheetId="10" r:id="rId11"/>
    <sheet name="Pr 2-13" sheetId="11" r:id="rId12"/>
    <sheet name="Pr 2-14" sheetId="26" r:id="rId13"/>
    <sheet name="Pr 2-15" sheetId="27" r:id="rId14"/>
    <sheet name="Pr 2-17" sheetId="28" r:id="rId15"/>
    <sheet name="Pr 2-18" sheetId="29" r:id="rId16"/>
    <sheet name="Pr 2-19" sheetId="30" r:id="rId17"/>
    <sheet name="Pr 2-20" sheetId="31" r:id="rId18"/>
    <sheet name="Pr 2-21" sheetId="32" r:id="rId19"/>
    <sheet name="Pr 2-22" sheetId="33" r:id="rId20"/>
    <sheet name="Pr 2-23" sheetId="50" r:id="rId21"/>
    <sheet name="Pr 2-24" sheetId="34" r:id="rId22"/>
    <sheet name="Pr 2-25" sheetId="35" r:id="rId23"/>
    <sheet name="Pr 2-26" sheetId="36" r:id="rId24"/>
    <sheet name="Pr 2-28" sheetId="38" r:id="rId25"/>
    <sheet name="Pr 2-29" sheetId="39" r:id="rId26"/>
    <sheet name="Pr 2-30" sheetId="40" r:id="rId27"/>
    <sheet name="Pr 2-31" sheetId="41" r:id="rId28"/>
    <sheet name="Pr 2-32" sheetId="42" r:id="rId29"/>
    <sheet name="Pr 2-33" sheetId="43" r:id="rId30"/>
    <sheet name="Pr 2-34" sheetId="44" r:id="rId31"/>
    <sheet name="Pr 2-35" sheetId="45" r:id="rId32"/>
    <sheet name="Pr 2-36" sheetId="46" r:id="rId33"/>
    <sheet name="Pr 2-37" sheetId="47" r:id="rId34"/>
    <sheet name="Pr 2-39" sheetId="48" r:id="rId35"/>
  </sheets>
  <calcPr calcId="152511"/>
</workbook>
</file>

<file path=xl/calcChain.xml><?xml version="1.0" encoding="utf-8"?>
<calcChain xmlns="http://schemas.openxmlformats.org/spreadsheetml/2006/main">
  <c r="C14" i="45" l="1"/>
  <c r="C24" i="45"/>
  <c r="C11" i="39"/>
  <c r="C12" i="34" l="1"/>
  <c r="C11" i="34"/>
  <c r="C32" i="30"/>
  <c r="C20" i="4" l="1"/>
  <c r="C20" i="2"/>
  <c r="C24" i="48" l="1"/>
  <c r="C21" i="48"/>
  <c r="C23" i="47"/>
  <c r="C2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21" i="46"/>
  <c r="J20" i="46"/>
  <c r="I20" i="46"/>
  <c r="H20" i="46"/>
  <c r="C31" i="46"/>
  <c r="C30" i="46"/>
  <c r="C27" i="46"/>
  <c r="C24" i="46"/>
  <c r="C21" i="46"/>
  <c r="C30" i="45"/>
  <c r="C27" i="45"/>
  <c r="C21" i="45"/>
  <c r="C25" i="48" l="1"/>
  <c r="K20" i="46"/>
  <c r="L20" i="46" s="1"/>
  <c r="H21" i="46" s="1"/>
  <c r="I21" i="46" s="1"/>
  <c r="K21" i="46"/>
  <c r="L21" i="46" s="1"/>
  <c r="H22" i="46" s="1"/>
  <c r="C21" i="44"/>
  <c r="C22" i="44" s="1"/>
  <c r="C20" i="44"/>
  <c r="I22" i="46" l="1"/>
  <c r="K22" i="46" s="1"/>
  <c r="L22" i="46" s="1"/>
  <c r="H23" i="46" s="1"/>
  <c r="C21" i="43"/>
  <c r="C24" i="43" s="1"/>
  <c r="C21" i="42"/>
  <c r="C25" i="42"/>
  <c r="C26" i="42" s="1"/>
  <c r="C32" i="41"/>
  <c r="D32" i="41" s="1"/>
  <c r="E32" i="41" s="1"/>
  <c r="C27" i="41"/>
  <c r="F27" i="41" s="1"/>
  <c r="C28" i="41" s="1"/>
  <c r="D27" i="41"/>
  <c r="E27" i="41"/>
  <c r="F26" i="41"/>
  <c r="E26" i="41"/>
  <c r="D26" i="41"/>
  <c r="C26" i="41"/>
  <c r="F25" i="41"/>
  <c r="E25" i="41"/>
  <c r="D25" i="41"/>
  <c r="C25" i="41"/>
  <c r="C21" i="41"/>
  <c r="I23" i="46" l="1"/>
  <c r="K23" i="46" s="1"/>
  <c r="L23" i="46"/>
  <c r="H24" i="46" s="1"/>
  <c r="F32" i="41"/>
  <c r="D28" i="41"/>
  <c r="E28" i="41" s="1"/>
  <c r="F28" i="41"/>
  <c r="C29" i="41" s="1"/>
  <c r="C24" i="40"/>
  <c r="C21" i="40"/>
  <c r="C21" i="39"/>
  <c r="C20" i="39"/>
  <c r="E25" i="38"/>
  <c r="D25" i="38"/>
  <c r="C25" i="38"/>
  <c r="E24" i="38"/>
  <c r="C24" i="38"/>
  <c r="D24" i="38"/>
  <c r="E23" i="38"/>
  <c r="C23" i="38"/>
  <c r="D23" i="38"/>
  <c r="E22" i="38"/>
  <c r="D22" i="38"/>
  <c r="C22" i="38"/>
  <c r="C22" i="36"/>
  <c r="C21" i="36"/>
  <c r="I24" i="46" l="1"/>
  <c r="K24" i="46" s="1"/>
  <c r="L24" i="46" s="1"/>
  <c r="H25" i="46" s="1"/>
  <c r="D29" i="41"/>
  <c r="E29" i="41" s="1"/>
  <c r="F29" i="41" s="1"/>
  <c r="C30" i="41" s="1"/>
  <c r="C20" i="35"/>
  <c r="C25" i="35" s="1"/>
  <c r="C28" i="34"/>
  <c r="C27" i="34" s="1"/>
  <c r="C24" i="34"/>
  <c r="C21" i="34"/>
  <c r="C26" i="50"/>
  <c r="C25" i="50"/>
  <c r="C24" i="50"/>
  <c r="C23" i="50"/>
  <c r="C22" i="50"/>
  <c r="C21" i="50"/>
  <c r="C22" i="33"/>
  <c r="C21" i="33"/>
  <c r="C21" i="32"/>
  <c r="C22" i="32" s="1"/>
  <c r="C21" i="31"/>
  <c r="C37" i="30"/>
  <c r="C35" i="30"/>
  <c r="C29" i="30"/>
  <c r="C26" i="30"/>
  <c r="C23" i="30"/>
  <c r="C22" i="29"/>
  <c r="C25" i="29"/>
  <c r="C24" i="29"/>
  <c r="C23" i="29"/>
  <c r="C29" i="11"/>
  <c r="C23" i="11"/>
  <c r="C26" i="11" s="1"/>
  <c r="C32" i="11" s="1"/>
  <c r="C20" i="11"/>
  <c r="C31" i="35" l="1"/>
  <c r="C32" i="35" s="1"/>
  <c r="C22" i="35"/>
  <c r="C28" i="35"/>
  <c r="C23" i="33"/>
  <c r="C26" i="29"/>
  <c r="I25" i="46"/>
  <c r="K25" i="46" s="1"/>
  <c r="L25" i="46" s="1"/>
  <c r="H26" i="46" s="1"/>
  <c r="D30" i="41"/>
  <c r="E30" i="41" s="1"/>
  <c r="F30" i="41" s="1"/>
  <c r="C31" i="41" s="1"/>
  <c r="C24" i="28"/>
  <c r="C23" i="28"/>
  <c r="C22" i="28"/>
  <c r="C21" i="28"/>
  <c r="C23" i="26"/>
  <c r="C21" i="26"/>
  <c r="C26" i="27"/>
  <c r="C27" i="10"/>
  <c r="C30" i="10" s="1"/>
  <c r="C24" i="10"/>
  <c r="C27" i="8"/>
  <c r="C21" i="8"/>
  <c r="C24" i="8"/>
  <c r="C28" i="9"/>
  <c r="C25" i="9"/>
  <c r="C22" i="9"/>
  <c r="C34" i="7"/>
  <c r="C31" i="7"/>
  <c r="C28" i="7"/>
  <c r="C25" i="7"/>
  <c r="C31" i="6"/>
  <c r="C28" i="6"/>
  <c r="C22" i="6"/>
  <c r="C25" i="6"/>
  <c r="C20" i="5"/>
  <c r="C19" i="3"/>
  <c r="C20" i="3" s="1"/>
  <c r="C20" i="1"/>
  <c r="C21" i="25"/>
  <c r="C25" i="28" l="1"/>
  <c r="I26" i="46"/>
  <c r="K26" i="46" s="1"/>
  <c r="L26" i="46" s="1"/>
  <c r="H27" i="46" s="1"/>
  <c r="D31" i="41"/>
  <c r="E31" i="41" s="1"/>
  <c r="F31" i="41"/>
  <c r="I27" i="46" l="1"/>
  <c r="K27" i="46" s="1"/>
  <c r="L27" i="46"/>
  <c r="H28" i="46" s="1"/>
  <c r="I28" i="46" l="1"/>
  <c r="K28" i="46" s="1"/>
  <c r="L28" i="46" s="1"/>
  <c r="H29" i="46" s="1"/>
  <c r="I29" i="46" l="1"/>
  <c r="K29" i="46" s="1"/>
  <c r="L29" i="46" s="1"/>
  <c r="H30" i="46" s="1"/>
  <c r="I30" i="46" l="1"/>
  <c r="K30" i="46" s="1"/>
  <c r="L30" i="46" s="1"/>
  <c r="H31" i="46" s="1"/>
  <c r="I31" i="46" l="1"/>
  <c r="K31" i="46" s="1"/>
  <c r="L31" i="46"/>
  <c r="H32" i="46" s="1"/>
  <c r="I32" i="46" l="1"/>
  <c r="K32" i="46" s="1"/>
  <c r="L32" i="46" s="1"/>
  <c r="H33" i="46" s="1"/>
  <c r="I33" i="46" l="1"/>
  <c r="K33" i="46" s="1"/>
  <c r="L33" i="46" s="1"/>
  <c r="H34" i="46" s="1"/>
  <c r="I34" i="46" l="1"/>
  <c r="K34" i="46" s="1"/>
  <c r="L34" i="46" s="1"/>
  <c r="H35" i="46" s="1"/>
  <c r="I35" i="46" l="1"/>
  <c r="K35" i="46" s="1"/>
  <c r="L35" i="46"/>
  <c r="H36" i="46" s="1"/>
  <c r="I36" i="46" l="1"/>
  <c r="K36" i="46" s="1"/>
  <c r="L36" i="46" s="1"/>
  <c r="H37" i="46" s="1"/>
  <c r="I37" i="46" l="1"/>
  <c r="K37" i="46" s="1"/>
  <c r="L37" i="46" s="1"/>
  <c r="H38" i="46" s="1"/>
  <c r="I38" i="46" l="1"/>
  <c r="K38" i="46" s="1"/>
  <c r="L38" i="46" s="1"/>
  <c r="H39" i="46" s="1"/>
  <c r="I39" i="46" l="1"/>
  <c r="K39" i="46" s="1"/>
  <c r="L39" i="46"/>
</calcChain>
</file>

<file path=xl/sharedStrings.xml><?xml version="1.0" encoding="utf-8"?>
<sst xmlns="http://schemas.openxmlformats.org/spreadsheetml/2006/main" count="759" uniqueCount="275">
  <si>
    <t>All input values are shown in yellow. Only these values need changed to review algo versions.</t>
  </si>
  <si>
    <r>
      <t xml:space="preserve">Answers are displayed in red. </t>
    </r>
    <r>
      <rPr>
        <b/>
        <sz val="11"/>
        <rFont val="Calibri"/>
        <family val="2"/>
        <scheme val="minor"/>
      </rPr>
      <t/>
    </r>
  </si>
  <si>
    <t>Assumptions and other problem notes are displayed at the very bottom.</t>
  </si>
  <si>
    <t>Input variables:</t>
  </si>
  <si>
    <t xml:space="preserve"> </t>
  </si>
  <si>
    <t>Solution and Explanation:</t>
  </si>
  <si>
    <t>Notes:</t>
  </si>
  <si>
    <t xml:space="preserve">Investment </t>
  </si>
  <si>
    <t>Interest rate</t>
  </si>
  <si>
    <t>Number of years</t>
  </si>
  <si>
    <t>FV</t>
  </si>
  <si>
    <t>Future value</t>
  </si>
  <si>
    <t>Present value</t>
  </si>
  <si>
    <t>Discount factor</t>
  </si>
  <si>
    <t>Cost of capital</t>
  </si>
  <si>
    <t>Year 2 cash flow</t>
  </si>
  <si>
    <t>Year 1 cash flow</t>
  </si>
  <si>
    <t>Year 3 cash flow</t>
  </si>
  <si>
    <t>Initial investment</t>
  </si>
  <si>
    <t>Present value of inflows</t>
  </si>
  <si>
    <t>NPV</t>
  </si>
  <si>
    <t>(Input as a negative value)</t>
  </si>
  <si>
    <t>Investment cost</t>
  </si>
  <si>
    <t>Perpetuity payment</t>
  </si>
  <si>
    <t>Discount rate</t>
  </si>
  <si>
    <t>Input as a negative</t>
  </si>
  <si>
    <t>Next year's dividend</t>
  </si>
  <si>
    <t>Dividend growth rate</t>
  </si>
  <si>
    <t>PV of dividend stream</t>
  </si>
  <si>
    <t>a. Perpetuity payment</t>
  </si>
  <si>
    <t>b. Perpetuity payment</t>
  </si>
  <si>
    <t>b. First payment year</t>
  </si>
  <si>
    <t>c. Annual payment</t>
  </si>
  <si>
    <t>c. Number of years</t>
  </si>
  <si>
    <t>d. Growth rate</t>
  </si>
  <si>
    <t>d. Year 1 income</t>
  </si>
  <si>
    <t>a.</t>
  </si>
  <si>
    <t>b.</t>
  </si>
  <si>
    <t>Approximate PV</t>
  </si>
  <si>
    <t>c.</t>
  </si>
  <si>
    <t>PV</t>
  </si>
  <si>
    <t>d.</t>
  </si>
  <si>
    <t>Land value</t>
  </si>
  <si>
    <t>a. Year</t>
  </si>
  <si>
    <t>a. Discount rate</t>
  </si>
  <si>
    <t>b. Year</t>
  </si>
  <si>
    <t>b. Discount rate</t>
  </si>
  <si>
    <t>c. Year</t>
  </si>
  <si>
    <t>c. Discount rate</t>
  </si>
  <si>
    <t>d. Year</t>
  </si>
  <si>
    <t>d. Discount rate</t>
  </si>
  <si>
    <t xml:space="preserve">d. </t>
  </si>
  <si>
    <t>a. Investment</t>
  </si>
  <si>
    <t>a. Number of years</t>
  </si>
  <si>
    <t>b. FV</t>
  </si>
  <si>
    <t>b. Number of years</t>
  </si>
  <si>
    <t>c. Annual cash flow</t>
  </si>
  <si>
    <t>(annnuity due)</t>
  </si>
  <si>
    <t>(continuously compounded)</t>
  </si>
  <si>
    <t>Investment</t>
  </si>
  <si>
    <t>a. Periods per year</t>
  </si>
  <si>
    <t>b. Periods per year</t>
  </si>
  <si>
    <t>c. Periods per year</t>
  </si>
  <si>
    <t>continuous</t>
  </si>
  <si>
    <t>Brealey Principles 12e</t>
  </si>
  <si>
    <t>Brealey Principle 12e</t>
  </si>
  <si>
    <t>Pr 2-10</t>
  </si>
  <si>
    <t>Pr 2-09</t>
  </si>
  <si>
    <t>Pr 2-08</t>
  </si>
  <si>
    <t>Pr 2-07</t>
  </si>
  <si>
    <t>Pr 2-06</t>
  </si>
  <si>
    <t>Pr 2-04</t>
  </si>
  <si>
    <t>Pr 2-03</t>
  </si>
  <si>
    <t>Pr 2-02</t>
  </si>
  <si>
    <t>Pr 2-01</t>
  </si>
  <si>
    <t>Pr 2-12</t>
  </si>
  <si>
    <t>a. Auto cost</t>
  </si>
  <si>
    <t>a. Interest rate</t>
  </si>
  <si>
    <t>b. Annual school fees</t>
  </si>
  <si>
    <t>b. Interest rate</t>
  </si>
  <si>
    <t>c. Amount invested</t>
  </si>
  <si>
    <t>c. Interest rate</t>
  </si>
  <si>
    <r>
      <t>C</t>
    </r>
    <r>
      <rPr>
        <vertAlign val="subscript"/>
        <sz val="11"/>
        <color theme="1"/>
        <rFont val="Calibri"/>
        <family val="2"/>
        <scheme val="minor"/>
      </rPr>
      <t>6</t>
    </r>
  </si>
  <si>
    <t>Pr 2-13</t>
  </si>
  <si>
    <t>a. 1-year discount factor</t>
  </si>
  <si>
    <t>b. 2-year interest rate</t>
  </si>
  <si>
    <t>d. Number of years</t>
  </si>
  <si>
    <t>d. Annual payment</t>
  </si>
  <si>
    <t xml:space="preserve">d. PV </t>
  </si>
  <si>
    <t>Pr 2-14</t>
  </si>
  <si>
    <t>Factory cost</t>
  </si>
  <si>
    <t>Annual operating costs</t>
  </si>
  <si>
    <t>Future value number of years</t>
  </si>
  <si>
    <t>Pr 2-15</t>
  </si>
  <si>
    <t>Machine cost</t>
  </si>
  <si>
    <t>Cash flow - Year 1</t>
  </si>
  <si>
    <t>Cash flow - Year 2</t>
  </si>
  <si>
    <t>Cash flow - Year 3</t>
  </si>
  <si>
    <t>Cash flow - Year 4</t>
  </si>
  <si>
    <t>Cash flow - Year 5</t>
  </si>
  <si>
    <t>Cash flow - Year 6</t>
  </si>
  <si>
    <t>Cash flow - Year 7</t>
  </si>
  <si>
    <t>Cash flow - Year 8</t>
  </si>
  <si>
    <t>Cash flow - Year 9</t>
  </si>
  <si>
    <t>Cash flow - Year 10</t>
  </si>
  <si>
    <t>thousand</t>
  </si>
  <si>
    <t>PV end of x years</t>
  </si>
  <si>
    <t>Pr 2-17</t>
  </si>
  <si>
    <t>Inflow - Year 1</t>
  </si>
  <si>
    <t>Inflow - Year 2</t>
  </si>
  <si>
    <t>Inflow - Year 3</t>
  </si>
  <si>
    <t>Opportunity cost of capital</t>
  </si>
  <si>
    <t>PV - Year 3 cash flow</t>
  </si>
  <si>
    <t>PV - Initial cash outflow</t>
  </si>
  <si>
    <t>PV - Year 1 cash flow</t>
  </si>
  <si>
    <t>PV - Year 2 cash flow</t>
  </si>
  <si>
    <t>Pr 2-18</t>
  </si>
  <si>
    <t>r</t>
  </si>
  <si>
    <r>
      <t>DF</t>
    </r>
    <r>
      <rPr>
        <vertAlign val="subscript"/>
        <sz val="11"/>
        <color theme="1"/>
        <rFont val="Calibri"/>
        <family val="2"/>
        <scheme val="minor"/>
      </rPr>
      <t>2</t>
    </r>
  </si>
  <si>
    <r>
      <t>PVAF</t>
    </r>
    <r>
      <rPr>
        <vertAlign val="subscript"/>
        <sz val="11"/>
        <color theme="1"/>
        <rFont val="Calibri"/>
        <family val="2"/>
        <scheme val="minor"/>
      </rPr>
      <t>2</t>
    </r>
  </si>
  <si>
    <t>e.</t>
  </si>
  <si>
    <r>
      <t>AF</t>
    </r>
    <r>
      <rPr>
        <vertAlign val="subscript"/>
        <sz val="11"/>
        <color theme="1"/>
        <rFont val="Calibri"/>
        <family val="2"/>
        <scheme val="minor"/>
      </rPr>
      <t>3</t>
    </r>
  </si>
  <si>
    <r>
      <rPr>
        <sz val="11"/>
        <color theme="1"/>
        <rFont val="Calibri"/>
        <family val="2"/>
        <scheme val="minor"/>
      </rPr>
      <t>DF</t>
    </r>
    <r>
      <rPr>
        <vertAlign val="subscript"/>
        <sz val="11"/>
        <color theme="1"/>
        <rFont val="Calibri"/>
        <family val="2"/>
        <scheme val="minor"/>
      </rPr>
      <t>3</t>
    </r>
  </si>
  <si>
    <t>Cost of bulk carrier</t>
  </si>
  <si>
    <t>Annual revenue</t>
  </si>
  <si>
    <t>Refit cost</t>
  </si>
  <si>
    <t>First refit year</t>
  </si>
  <si>
    <t>Second refit year</t>
  </si>
  <si>
    <t>Scrap value</t>
  </si>
  <si>
    <t>PV operating cash flow</t>
  </si>
  <si>
    <t>PV of refits</t>
  </si>
  <si>
    <t>PV of scrap value</t>
  </si>
  <si>
    <t xml:space="preserve">NPV </t>
  </si>
  <si>
    <t>Pr 2-19</t>
  </si>
  <si>
    <t>a. Amount today</t>
  </si>
  <si>
    <t>b. Future amount</t>
  </si>
  <si>
    <t>c. Perpetity amount</t>
  </si>
  <si>
    <t>d. Annuity amount</t>
  </si>
  <si>
    <t>e. Amount next year</t>
  </si>
  <si>
    <t>e. Growth rate</t>
  </si>
  <si>
    <t xml:space="preserve">a. </t>
  </si>
  <si>
    <t xml:space="preserve">b. </t>
  </si>
  <si>
    <t>Most valuable prize</t>
  </si>
  <si>
    <t>Prize A</t>
  </si>
  <si>
    <t>Prize B</t>
  </si>
  <si>
    <t>Prize C</t>
  </si>
  <si>
    <t>Prize D</t>
  </si>
  <si>
    <t>Prize E</t>
  </si>
  <si>
    <t>Pr 2-20</t>
  </si>
  <si>
    <t>Life expectancy in years</t>
  </si>
  <si>
    <t>Annuity payment</t>
  </si>
  <si>
    <t>Investment amount</t>
  </si>
  <si>
    <t>Pr 2-21</t>
  </si>
  <si>
    <t>Pr 2-22</t>
  </si>
  <si>
    <t>PR 2-24</t>
  </si>
  <si>
    <t>Pr 2-25</t>
  </si>
  <si>
    <t>Pr 2-26</t>
  </si>
  <si>
    <t>Pr 2-28</t>
  </si>
  <si>
    <t>Pr 2-29</t>
  </si>
  <si>
    <t>Pr 2-30</t>
  </si>
  <si>
    <t>Pr 2-31</t>
  </si>
  <si>
    <t>Pr 2-32</t>
  </si>
  <si>
    <t>Pr 2-33</t>
  </si>
  <si>
    <t>Pr 2-34</t>
  </si>
  <si>
    <t>Pr 2-35</t>
  </si>
  <si>
    <t>Pr 2-36</t>
  </si>
  <si>
    <t>Pr 2-37</t>
  </si>
  <si>
    <t>Pr 2-39</t>
  </si>
  <si>
    <t>Boat cost</t>
  </si>
  <si>
    <t>Years of savings</t>
  </si>
  <si>
    <t>PV of boat cost</t>
  </si>
  <si>
    <t>Annual savings amount</t>
  </si>
  <si>
    <t>Price of car</t>
  </si>
  <si>
    <t>Down payment</t>
  </si>
  <si>
    <t>Monthly payment</t>
  </si>
  <si>
    <t>Number of payments</t>
  </si>
  <si>
    <t>Dealer 2 discount</t>
  </si>
  <si>
    <t>Dealer 2 monthly interest rate</t>
  </si>
  <si>
    <t>PV of payments to Kangaroo Auto</t>
  </si>
  <si>
    <t>Cost of car at Turtle Motors</t>
  </si>
  <si>
    <t>Better Deal</t>
  </si>
  <si>
    <t>Initial cost</t>
  </si>
  <si>
    <t>Cash inflow year 2</t>
  </si>
  <si>
    <t>Cash inflow year 1</t>
  </si>
  <si>
    <t>Discount rate 1</t>
  </si>
  <si>
    <t>Discount rate 2</t>
  </si>
  <si>
    <t>Discount rate 3</t>
  </si>
  <si>
    <t>NPV rate 1</t>
  </si>
  <si>
    <t>NPV rate 2</t>
  </si>
  <si>
    <t>NPV rate 3</t>
  </si>
  <si>
    <t>IRR</t>
  </si>
  <si>
    <t>NPV at rounded IRR value</t>
  </si>
  <si>
    <t>Rounded IRR value</t>
  </si>
  <si>
    <t>a. Perpetuity payment  end-of-period</t>
  </si>
  <si>
    <t>b. Perpetuity payment  beginning-of-period</t>
  </si>
  <si>
    <t>c. Perpetuity payment spread evenly over year</t>
  </si>
  <si>
    <t>PV of ordinary annuity</t>
  </si>
  <si>
    <t>PV of annuity due</t>
  </si>
  <si>
    <t>PV of evenly spread payments</t>
  </si>
  <si>
    <t>Continously compounded rate</t>
  </si>
  <si>
    <t>Rate 1</t>
  </si>
  <si>
    <t>a. Perpetuity amount end-of-year</t>
  </si>
  <si>
    <t>b. Perpetuity amount</t>
  </si>
  <si>
    <t>b. Growth rate</t>
  </si>
  <si>
    <t>c. Annuity amount</t>
  </si>
  <si>
    <t>d. Amount spread evenly over year</t>
  </si>
  <si>
    <t>PVA</t>
  </si>
  <si>
    <t>billion</t>
  </si>
  <si>
    <r>
      <t>C</t>
    </r>
    <r>
      <rPr>
        <vertAlign val="subscript"/>
        <sz val="11"/>
        <color theme="1"/>
        <rFont val="Calibri"/>
        <family val="2"/>
        <scheme val="minor"/>
      </rPr>
      <t xml:space="preserve">t </t>
    </r>
    <r>
      <rPr>
        <sz val="11"/>
        <color theme="1"/>
        <rFont val="Calibri"/>
        <family val="2"/>
        <scheme val="minor"/>
      </rPr>
      <t xml:space="preserve"> annually compounded</t>
    </r>
  </si>
  <si>
    <r>
      <t>C</t>
    </r>
    <r>
      <rPr>
        <i/>
        <vertAlign val="subscript"/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continuously compounded</t>
    </r>
  </si>
  <si>
    <t>Annual payment</t>
  </si>
  <si>
    <t>Number of years 1</t>
  </si>
  <si>
    <t>Number of years 2</t>
  </si>
  <si>
    <t>Number of years 3</t>
  </si>
  <si>
    <t>Years</t>
  </si>
  <si>
    <t>annual</t>
  </si>
  <si>
    <t>semiannual</t>
  </si>
  <si>
    <t>Assumed investment amount</t>
  </si>
  <si>
    <t>Future values:</t>
  </si>
  <si>
    <t>Immediate payment</t>
  </si>
  <si>
    <t>Subsequent payment amount</t>
  </si>
  <si>
    <t>Annual discount rate</t>
  </si>
  <si>
    <t>Semi-annual rate</t>
  </si>
  <si>
    <t>Number of additional semiannual payments</t>
  </si>
  <si>
    <t xml:space="preserve">PV </t>
  </si>
  <si>
    <t>Prize amount</t>
  </si>
  <si>
    <t>Number of annual installments</t>
  </si>
  <si>
    <t>b. Offer amount</t>
  </si>
  <si>
    <t>Bid price</t>
  </si>
  <si>
    <t>Rate of return</t>
  </si>
  <si>
    <t>Amortization schedule:</t>
  </si>
  <si>
    <t>Beginning balance</t>
  </si>
  <si>
    <t>Ending balance</t>
  </si>
  <si>
    <t>Principal payment</t>
  </si>
  <si>
    <t>Interest payment</t>
  </si>
  <si>
    <t>Years until retirement</t>
  </si>
  <si>
    <t>Retirement savings</t>
  </si>
  <si>
    <t>Years in retirement</t>
  </si>
  <si>
    <t>Inflation rate</t>
  </si>
  <si>
    <t>Real rate</t>
  </si>
  <si>
    <t>Level expenditure amount</t>
  </si>
  <si>
    <t>Annually compounded rate</t>
  </si>
  <si>
    <t>Annuity number of years</t>
  </si>
  <si>
    <t>a. First payment arrives one year from now.</t>
  </si>
  <si>
    <t>b. First payment arrives 6 months from now.</t>
  </si>
  <si>
    <t>Annual annuity payment</t>
  </si>
  <si>
    <t>Number of years until retirement</t>
  </si>
  <si>
    <t>Monthly aftertax pension</t>
  </si>
  <si>
    <t>Monthly aftertax Social Security</t>
  </si>
  <si>
    <t>Monthly living expenses</t>
  </si>
  <si>
    <t>Municipal bond rate of return</t>
  </si>
  <si>
    <t>Current municipal bond investment</t>
  </si>
  <si>
    <t>Municipal bond investment value at retirement</t>
  </si>
  <si>
    <t>Annual retirement shortfall</t>
  </si>
  <si>
    <t>Number of years to deplete savings</t>
  </si>
  <si>
    <t>c. Growth rate</t>
  </si>
  <si>
    <t xml:space="preserve">c. </t>
  </si>
  <si>
    <t>Loan amount</t>
  </si>
  <si>
    <t>Payment</t>
  </si>
  <si>
    <t>Interest / Payment  for first year</t>
  </si>
  <si>
    <t>Interest / Payment for last year</t>
  </si>
  <si>
    <t xml:space="preserve">Loan balance </t>
  </si>
  <si>
    <t>Fraction paid off</t>
  </si>
  <si>
    <t>Reword problem in Connect so no amortization table is needed</t>
  </si>
  <si>
    <t>Amortization table for SM use:</t>
  </si>
  <si>
    <t>Rule of 72 years</t>
  </si>
  <si>
    <t>Exact years</t>
  </si>
  <si>
    <t>Discrete compounding:</t>
  </si>
  <si>
    <t>Growth rate</t>
  </si>
  <si>
    <t>PV of perpetuity</t>
  </si>
  <si>
    <r>
      <t>PV</t>
    </r>
    <r>
      <rPr>
        <vertAlign val="subscript"/>
        <sz val="11"/>
        <color theme="1"/>
        <rFont val="Calibri"/>
        <family val="2"/>
        <scheme val="minor"/>
      </rPr>
      <t>20</t>
    </r>
  </si>
  <si>
    <r>
      <t>PV</t>
    </r>
    <r>
      <rPr>
        <vertAlign val="subscript"/>
        <sz val="11"/>
        <color theme="1"/>
        <rFont val="Calibri"/>
        <family val="2"/>
        <scheme val="minor"/>
      </rPr>
      <t>0</t>
    </r>
  </si>
  <si>
    <t>Pr 2-23</t>
  </si>
  <si>
    <t>Pr 2-11</t>
  </si>
  <si>
    <t>Real annual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</si>
</sst>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.0000"/>
    <numFmt numFmtId="168" formatCode="0.0%"/>
    <numFmt numFmtId="169" formatCode=".000"/>
    <numFmt numFmtId="170" formatCode="0.0000"/>
    <numFmt numFmtId="171" formatCode=".00%"/>
    <numFmt numFmtId="172" formatCode="&quot;$&quot;#,##0.000"/>
    <numFmt numFmtId="173" formatCode="&quot;$&quot;#,##0.0000"/>
    <numFmt numFmtId="174" formatCode="0.0000%"/>
    <numFmt numFmtId="175" formatCode=".00"/>
    <numFmt numFmtId="176" formatCode="&quot;$&quot;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70C0"/>
      <name val="Calibri"/>
      <family val="2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 wrapText="1"/>
    </xf>
    <xf numFmtId="49" fontId="0" fillId="0" borderId="0" xfId="0" applyNumberFormat="1"/>
    <xf numFmtId="164" fontId="0" fillId="0" borderId="0" xfId="1" applyNumberFormat="1" applyFont="1"/>
    <xf numFmtId="2" fontId="0" fillId="0" borderId="0" xfId="0" applyNumberFormat="1"/>
    <xf numFmtId="4" fontId="0" fillId="0" borderId="0" xfId="0" applyNumberFormat="1" applyFill="1"/>
    <xf numFmtId="2" fontId="0" fillId="0" borderId="0" xfId="0" applyNumberFormat="1" applyFill="1"/>
    <xf numFmtId="2" fontId="0" fillId="3" borderId="0" xfId="0" applyNumberFormat="1" applyFill="1"/>
    <xf numFmtId="0" fontId="0" fillId="3" borderId="0" xfId="0" applyFill="1" applyAlignment="1">
      <alignment vertical="center" wrapText="1"/>
    </xf>
    <xf numFmtId="4" fontId="0" fillId="3" borderId="0" xfId="0" applyNumberFormat="1" applyFill="1"/>
    <xf numFmtId="164" fontId="0" fillId="3" borderId="0" xfId="1" applyNumberFormat="1" applyFont="1" applyFill="1"/>
    <xf numFmtId="0" fontId="0" fillId="3" borderId="0" xfId="0" applyFill="1"/>
    <xf numFmtId="0" fontId="0" fillId="0" borderId="0" xfId="0" applyBorder="1"/>
    <xf numFmtId="44" fontId="2" fillId="0" borderId="0" xfId="2" applyFont="1"/>
    <xf numFmtId="2" fontId="8" fillId="0" borderId="0" xfId="0" applyNumberFormat="1" applyFont="1"/>
    <xf numFmtId="0" fontId="2" fillId="0" borderId="0" xfId="0" applyFont="1" applyAlignment="1">
      <alignment horizontal="right"/>
    </xf>
    <xf numFmtId="2" fontId="8" fillId="3" borderId="0" xfId="0" applyNumberFormat="1" applyFont="1" applyFill="1"/>
    <xf numFmtId="0" fontId="2" fillId="3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2" fontId="7" fillId="0" borderId="0" xfId="0" applyNumberFormat="1" applyFont="1"/>
    <xf numFmtId="0" fontId="9" fillId="0" borderId="0" xfId="0" applyFont="1"/>
    <xf numFmtId="0" fontId="7" fillId="0" borderId="0" xfId="0" applyFont="1" applyAlignment="1">
      <alignment wrapText="1"/>
    </xf>
    <xf numFmtId="0" fontId="10" fillId="0" borderId="0" xfId="0" quotePrefix="1" applyFont="1" applyAlignment="1">
      <alignment horizontal="right"/>
    </xf>
    <xf numFmtId="0" fontId="8" fillId="0" borderId="0" xfId="0" applyFont="1"/>
    <xf numFmtId="0" fontId="11" fillId="0" borderId="0" xfId="0" applyFon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166" fontId="0" fillId="0" borderId="0" xfId="0" applyNumberFormat="1"/>
    <xf numFmtId="9" fontId="0" fillId="0" borderId="0" xfId="3" applyFont="1"/>
    <xf numFmtId="165" fontId="2" fillId="0" borderId="0" xfId="0" applyNumberFormat="1" applyFont="1"/>
    <xf numFmtId="167" fontId="2" fillId="0" borderId="0" xfId="0" applyNumberFormat="1" applyFont="1"/>
    <xf numFmtId="0" fontId="0" fillId="0" borderId="0" xfId="0" applyFont="1"/>
    <xf numFmtId="166" fontId="2" fillId="0" borderId="0" xfId="0" applyNumberFormat="1" applyFont="1"/>
    <xf numFmtId="0" fontId="2" fillId="0" borderId="0" xfId="0" applyFont="1"/>
    <xf numFmtId="166" fontId="0" fillId="2" borderId="0" xfId="0" applyNumberFormat="1" applyFill="1"/>
    <xf numFmtId="9" fontId="0" fillId="2" borderId="0" xfId="3" applyFont="1" applyFill="1"/>
    <xf numFmtId="0" fontId="0" fillId="2" borderId="0" xfId="0" applyFill="1"/>
    <xf numFmtId="1" fontId="0" fillId="2" borderId="0" xfId="3" applyNumberFormat="1" applyFont="1" applyFill="1"/>
    <xf numFmtId="0" fontId="0" fillId="0" borderId="0" xfId="0"/>
    <xf numFmtId="0" fontId="0" fillId="0" borderId="0" xfId="0"/>
    <xf numFmtId="165" fontId="0" fillId="2" borderId="0" xfId="0" applyNumberFormat="1" applyFill="1"/>
    <xf numFmtId="168" fontId="0" fillId="2" borderId="0" xfId="3" applyNumberFormat="1" applyFont="1" applyFill="1"/>
    <xf numFmtId="6" fontId="0" fillId="2" borderId="0" xfId="0" applyNumberFormat="1" applyFill="1"/>
    <xf numFmtId="169" fontId="0" fillId="2" borderId="0" xfId="0" applyNumberFormat="1" applyFill="1"/>
    <xf numFmtId="166" fontId="0" fillId="2" borderId="0" xfId="3" applyNumberFormat="1" applyFont="1" applyFill="1"/>
    <xf numFmtId="0" fontId="0" fillId="0" borderId="0" xfId="0"/>
    <xf numFmtId="0" fontId="0" fillId="0" borderId="0" xfId="0"/>
    <xf numFmtId="0" fontId="0" fillId="2" borderId="0" xfId="3" applyNumberFormat="1" applyFont="1" applyFill="1"/>
    <xf numFmtId="0" fontId="13" fillId="0" borderId="0" xfId="0" applyFont="1"/>
    <xf numFmtId="10" fontId="0" fillId="0" borderId="0" xfId="3" applyNumberFormat="1" applyFont="1"/>
    <xf numFmtId="10" fontId="2" fillId="0" borderId="0" xfId="3" applyNumberFormat="1" applyFont="1"/>
    <xf numFmtId="170" fontId="2" fillId="0" borderId="0" xfId="0" applyNumberFormat="1" applyFont="1"/>
    <xf numFmtId="0" fontId="12" fillId="0" borderId="0" xfId="0" applyFont="1"/>
    <xf numFmtId="171" fontId="0" fillId="2" borderId="0" xfId="3" applyNumberFormat="1" applyFont="1" applyFill="1"/>
    <xf numFmtId="9" fontId="0" fillId="0" borderId="0" xfId="0" applyNumberFormat="1"/>
    <xf numFmtId="10" fontId="0" fillId="0" borderId="0" xfId="0" applyNumberFormat="1"/>
    <xf numFmtId="10" fontId="2" fillId="0" borderId="0" xfId="0" applyNumberFormat="1" applyFont="1"/>
    <xf numFmtId="10" fontId="8" fillId="0" borderId="0" xfId="3" applyNumberFormat="1" applyFont="1"/>
    <xf numFmtId="172" fontId="2" fillId="0" borderId="0" xfId="0" applyNumberFormat="1" applyFont="1"/>
    <xf numFmtId="172" fontId="0" fillId="0" borderId="0" xfId="0" applyNumberFormat="1"/>
    <xf numFmtId="165" fontId="0" fillId="0" borderId="0" xfId="1" applyNumberFormat="1" applyFont="1" applyAlignment="1"/>
    <xf numFmtId="173" fontId="2" fillId="0" borderId="0" xfId="0" applyNumberFormat="1" applyFont="1"/>
    <xf numFmtId="173" fontId="2" fillId="0" borderId="0" xfId="1" applyNumberFormat="1" applyFont="1" applyAlignment="1"/>
    <xf numFmtId="2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4" fontId="2" fillId="0" borderId="0" xfId="2" applyFont="1" applyAlignment="1">
      <alignment wrapText="1"/>
    </xf>
    <xf numFmtId="4" fontId="2" fillId="0" borderId="0" xfId="0" applyNumberFormat="1" applyFont="1"/>
    <xf numFmtId="10" fontId="0" fillId="2" borderId="0" xfId="3" applyNumberFormat="1" applyFont="1" applyFill="1"/>
    <xf numFmtId="3" fontId="0" fillId="0" borderId="0" xfId="1" applyNumberFormat="1" applyFont="1"/>
    <xf numFmtId="0" fontId="0" fillId="0" borderId="0" xfId="0"/>
    <xf numFmtId="175" fontId="2" fillId="0" borderId="0" xfId="0" applyNumberFormat="1" applyFont="1"/>
    <xf numFmtId="0" fontId="0" fillId="0" borderId="0" xfId="0" quotePrefix="1"/>
    <xf numFmtId="9" fontId="2" fillId="0" borderId="0" xfId="3" applyFont="1"/>
    <xf numFmtId="4" fontId="0" fillId="0" borderId="0" xfId="0" applyNumberFormat="1"/>
    <xf numFmtId="2" fontId="2" fillId="0" borderId="0" xfId="0" applyNumberFormat="1" applyFont="1"/>
    <xf numFmtId="165" fontId="8" fillId="0" borderId="0" xfId="0" applyNumberFormat="1" applyFont="1"/>
    <xf numFmtId="0" fontId="0" fillId="0" borderId="0" xfId="0" applyAlignment="1">
      <alignment horizontal="right"/>
    </xf>
    <xf numFmtId="3" fontId="0" fillId="0" borderId="0" xfId="0" applyNumberFormat="1" applyFill="1"/>
    <xf numFmtId="166" fontId="0" fillId="0" borderId="0" xfId="0" applyNumberFormat="1" applyFill="1"/>
    <xf numFmtId="176" fontId="0" fillId="2" borderId="0" xfId="0" applyNumberFormat="1" applyFill="1"/>
    <xf numFmtId="174" fontId="8" fillId="0" borderId="0" xfId="3" applyNumberFormat="1" applyFont="1"/>
    <xf numFmtId="9" fontId="8" fillId="0" borderId="0" xfId="0" applyNumberFormat="1" applyFont="1"/>
    <xf numFmtId="168" fontId="0" fillId="0" borderId="0" xfId="3" applyNumberFormat="1" applyFont="1" applyFill="1"/>
    <xf numFmtId="3" fontId="0" fillId="0" borderId="0" xfId="1" applyNumberFormat="1" applyFont="1"/>
    <xf numFmtId="0" fontId="0" fillId="0" borderId="0" xfId="0"/>
    <xf numFmtId="0" fontId="15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13" sqref="C13"/>
    </sheetView>
  </sheetViews>
  <sheetFormatPr defaultRowHeight="15" x14ac:dyDescent="0.25"/>
  <cols>
    <col min="1" max="1" width="12" customWidth="1"/>
    <col min="2" max="2" width="25.7109375" customWidth="1"/>
    <col min="8" max="8" width="20.140625" customWidth="1"/>
  </cols>
  <sheetData>
    <row r="1" spans="1:10" s="1" customFormat="1" x14ac:dyDescent="0.25">
      <c r="A1" s="1" t="s">
        <v>64</v>
      </c>
    </row>
    <row r="2" spans="1:10" ht="18.75" x14ac:dyDescent="0.3">
      <c r="A2" s="30" t="s">
        <v>74</v>
      </c>
      <c r="B2" s="2"/>
      <c r="C2" s="2"/>
      <c r="D2" s="2"/>
      <c r="E2" s="2"/>
      <c r="F2" s="2"/>
      <c r="G2" s="2"/>
      <c r="H2" s="2"/>
      <c r="I2" s="32"/>
      <c r="J2" s="32"/>
    </row>
    <row r="3" spans="1:10" ht="18.75" x14ac:dyDescent="0.3">
      <c r="A3" s="30"/>
      <c r="B3" s="2"/>
      <c r="C3" s="2"/>
      <c r="D3" s="2"/>
      <c r="E3" s="2"/>
      <c r="F3" s="2"/>
      <c r="G3" s="2"/>
      <c r="H3" s="2"/>
      <c r="I3" s="32"/>
      <c r="J3" s="3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  <c r="I5" s="32"/>
      <c r="J5" s="3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25">
      <c r="A8" s="32"/>
      <c r="B8" s="1" t="s">
        <v>3</v>
      </c>
      <c r="C8" s="32" t="s">
        <v>4</v>
      </c>
      <c r="D8" s="32"/>
      <c r="E8" s="32"/>
      <c r="F8" s="32"/>
      <c r="G8" s="32"/>
      <c r="H8" s="32"/>
      <c r="I8" s="32"/>
      <c r="J8" s="32"/>
    </row>
    <row r="9" spans="1:10" x14ac:dyDescent="0.25">
      <c r="A9" s="32"/>
      <c r="B9" s="1"/>
      <c r="C9" s="32"/>
      <c r="D9" s="32"/>
      <c r="E9" s="32"/>
      <c r="F9" s="32"/>
      <c r="G9" s="32"/>
      <c r="H9" s="32"/>
      <c r="I9" s="32"/>
      <c r="J9" s="32"/>
    </row>
    <row r="10" spans="1:10" x14ac:dyDescent="0.25">
      <c r="A10" s="32"/>
      <c r="B10" s="33" t="s">
        <v>7</v>
      </c>
      <c r="C10" s="43">
        <v>100</v>
      </c>
      <c r="D10" s="32"/>
      <c r="E10" s="32"/>
      <c r="F10" s="32"/>
      <c r="G10" s="32"/>
      <c r="H10" s="32"/>
      <c r="I10" s="32"/>
      <c r="J10" s="32"/>
    </row>
    <row r="11" spans="1:10" x14ac:dyDescent="0.25">
      <c r="A11" s="8" t="s">
        <v>4</v>
      </c>
      <c r="B11" s="33" t="s">
        <v>8</v>
      </c>
      <c r="C11" s="44">
        <v>0.15</v>
      </c>
      <c r="D11" s="32"/>
      <c r="E11" s="32"/>
      <c r="F11" s="32"/>
      <c r="G11" s="32"/>
      <c r="H11" s="32"/>
      <c r="I11" s="32"/>
      <c r="J11" s="32"/>
    </row>
    <row r="12" spans="1:10" x14ac:dyDescent="0.25">
      <c r="A12" s="10"/>
      <c r="B12" s="33" t="s">
        <v>9</v>
      </c>
      <c r="C12" s="45">
        <v>8</v>
      </c>
      <c r="D12" s="32"/>
      <c r="E12" s="32"/>
      <c r="F12" s="32"/>
      <c r="G12" s="32"/>
      <c r="H12" s="32"/>
      <c r="I12" s="32"/>
      <c r="J12" s="32"/>
    </row>
    <row r="13" spans="1:10" x14ac:dyDescent="0.25">
      <c r="A13" s="10"/>
      <c r="B13" s="32"/>
      <c r="C13" s="32" t="s">
        <v>4</v>
      </c>
      <c r="D13" s="32"/>
      <c r="E13" s="32"/>
      <c r="F13" s="32"/>
      <c r="G13" s="32"/>
      <c r="H13" s="32"/>
      <c r="I13" s="32"/>
      <c r="J13" s="32"/>
    </row>
    <row r="14" spans="1:10" x14ac:dyDescent="0.25">
      <c r="A14" s="10"/>
      <c r="B14" s="32"/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10"/>
      <c r="B15" s="32"/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10"/>
      <c r="B16" s="7"/>
      <c r="C16" s="11"/>
      <c r="D16" s="12"/>
      <c r="E16" s="9"/>
      <c r="F16" s="32"/>
      <c r="G16" s="32"/>
      <c r="H16" s="32"/>
      <c r="I16" s="32"/>
      <c r="J16" s="32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B18" s="32"/>
      <c r="C18" s="32"/>
      <c r="D18" s="32"/>
      <c r="E18" s="32"/>
      <c r="F18" s="32"/>
      <c r="G18" s="32"/>
      <c r="H18" s="18"/>
      <c r="I18" s="32"/>
      <c r="J18" s="32"/>
    </row>
    <row r="19" spans="1:10" x14ac:dyDescent="0.25">
      <c r="A19" s="10"/>
      <c r="B19" s="1" t="s">
        <v>5</v>
      </c>
      <c r="C19" s="32"/>
      <c r="D19" s="32"/>
      <c r="E19" s="32"/>
      <c r="F19" s="32"/>
      <c r="G19" s="32"/>
      <c r="H19" s="32"/>
      <c r="I19" s="32"/>
      <c r="J19" s="32"/>
    </row>
    <row r="20" spans="1:10" x14ac:dyDescent="0.25">
      <c r="A20" s="10"/>
      <c r="B20" s="1"/>
      <c r="C20" s="32"/>
      <c r="D20" s="32"/>
      <c r="E20" s="32"/>
      <c r="F20" s="32"/>
      <c r="G20" s="32"/>
      <c r="H20" s="32"/>
      <c r="I20" s="32"/>
      <c r="J20" s="32"/>
    </row>
    <row r="21" spans="1:10" x14ac:dyDescent="0.25">
      <c r="A21" s="10"/>
      <c r="B21" s="33" t="s">
        <v>10</v>
      </c>
      <c r="C21" s="38">
        <f>(1+C11)^C12*C10</f>
        <v>305.90228625390603</v>
      </c>
      <c r="D21" s="32"/>
      <c r="E21" s="32"/>
      <c r="F21" s="32"/>
      <c r="G21" s="32"/>
      <c r="H21" s="32"/>
      <c r="I21" s="32"/>
      <c r="J21" s="32"/>
    </row>
    <row r="22" spans="1:10" x14ac:dyDescent="0.25">
      <c r="A22" s="10"/>
      <c r="B22" s="32"/>
      <c r="C22" s="32"/>
      <c r="D22" s="32"/>
      <c r="E22" s="93"/>
      <c r="F22" s="93"/>
      <c r="G22" s="19"/>
      <c r="H22" s="32"/>
      <c r="I22" s="32"/>
      <c r="J22" s="32"/>
    </row>
    <row r="23" spans="1:10" x14ac:dyDescent="0.25">
      <c r="A23" s="10"/>
      <c r="B23" s="32"/>
      <c r="C23" s="32"/>
      <c r="D23" s="32"/>
      <c r="E23" s="32"/>
      <c r="F23" s="32"/>
      <c r="G23" s="19"/>
      <c r="H23" s="32"/>
      <c r="I23" s="32"/>
      <c r="J23" s="32"/>
    </row>
    <row r="24" spans="1:10" x14ac:dyDescent="0.25">
      <c r="A24" s="10"/>
      <c r="B24" s="32"/>
      <c r="C24" s="32"/>
      <c r="D24" s="32"/>
      <c r="E24" s="94"/>
      <c r="F24" s="94"/>
      <c r="G24" s="19"/>
      <c r="H24" s="32"/>
      <c r="I24" s="32"/>
      <c r="J24" s="32"/>
    </row>
    <row r="25" spans="1:10" x14ac:dyDescent="0.25">
      <c r="A25" s="10"/>
      <c r="B25" s="32"/>
      <c r="C25" s="32"/>
      <c r="D25" s="32"/>
      <c r="E25" s="32"/>
      <c r="F25" s="32"/>
      <c r="G25" s="19"/>
      <c r="H25" s="32"/>
      <c r="I25" s="32"/>
      <c r="J25" s="32"/>
    </row>
    <row r="26" spans="1:10" x14ac:dyDescent="0.25">
      <c r="A26" s="10"/>
      <c r="B26" s="32"/>
      <c r="C26" s="32"/>
      <c r="D26" s="32"/>
      <c r="E26" s="32"/>
      <c r="F26" s="32"/>
      <c r="G26" s="32"/>
      <c r="H26" s="32"/>
      <c r="I26" s="32"/>
      <c r="J26" s="32"/>
    </row>
    <row r="27" spans="1:10" x14ac:dyDescent="0.25">
      <c r="A27" s="10"/>
      <c r="B27" s="32"/>
      <c r="C27" s="32"/>
      <c r="D27" s="32"/>
      <c r="E27" s="32"/>
      <c r="F27" s="32"/>
      <c r="G27" s="32"/>
      <c r="H27" s="32"/>
      <c r="I27" s="32"/>
      <c r="J27" s="32"/>
    </row>
    <row r="28" spans="1:10" x14ac:dyDescent="0.25">
      <c r="A28" s="10"/>
      <c r="B28" s="32"/>
      <c r="C28" s="32"/>
      <c r="D28" s="32"/>
      <c r="E28" s="32"/>
      <c r="F28" s="32"/>
      <c r="G28" s="32"/>
      <c r="H28" s="32"/>
      <c r="I28" s="32"/>
      <c r="J28" s="32"/>
    </row>
    <row r="29" spans="1:10" x14ac:dyDescent="0.25">
      <c r="A29" s="10"/>
      <c r="B29" s="32"/>
      <c r="C29" s="32"/>
      <c r="D29" s="32"/>
      <c r="E29" s="32"/>
      <c r="F29" s="32"/>
      <c r="G29" s="32"/>
      <c r="H29" s="32"/>
      <c r="I29" s="32"/>
      <c r="J29" s="32"/>
    </row>
    <row r="30" spans="1:10" x14ac:dyDescent="0.25">
      <c r="A30" s="10"/>
      <c r="B30" s="32"/>
      <c r="C30" s="32"/>
      <c r="D30" s="32"/>
      <c r="E30" s="32"/>
      <c r="F30" s="32"/>
      <c r="G30" s="32"/>
      <c r="H30" s="32"/>
      <c r="I30" s="32"/>
      <c r="J30" s="32"/>
    </row>
    <row r="31" spans="1:10" x14ac:dyDescent="0.25">
      <c r="A31" s="10"/>
      <c r="B31" s="20"/>
      <c r="C31" s="21"/>
      <c r="D31" s="32"/>
      <c r="E31" s="32"/>
      <c r="F31" s="32"/>
      <c r="G31" s="32"/>
      <c r="H31" s="32"/>
      <c r="I31" s="32"/>
      <c r="J31" s="32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  <c r="D33" s="32"/>
      <c r="E33" s="32"/>
      <c r="F33" s="32"/>
      <c r="G33" s="32"/>
      <c r="H33" s="32"/>
      <c r="I33" s="32"/>
      <c r="J33" s="32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</sheetData>
  <mergeCells count="2">
    <mergeCell ref="E22:F22"/>
    <mergeCell ref="E24:F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C12" sqref="C12"/>
    </sheetView>
  </sheetViews>
  <sheetFormatPr defaultRowHeight="15" x14ac:dyDescent="0.25"/>
  <cols>
    <col min="1" max="1" width="13.28515625" customWidth="1"/>
    <col min="2" max="2" width="27.140625" customWidth="1"/>
    <col min="3" max="3" width="13.85546875" bestFit="1" customWidth="1"/>
  </cols>
  <sheetData>
    <row r="1" spans="1:10" s="34" customFormat="1" x14ac:dyDescent="0.25">
      <c r="A1" s="1" t="s">
        <v>64</v>
      </c>
    </row>
    <row r="2" spans="1:10" ht="18.75" x14ac:dyDescent="0.3">
      <c r="A2" s="30" t="s">
        <v>273</v>
      </c>
      <c r="B2" s="2"/>
      <c r="C2" s="2"/>
      <c r="D2" s="2"/>
      <c r="E2" s="2"/>
      <c r="F2" s="2"/>
      <c r="G2" s="2"/>
      <c r="H2" s="2"/>
      <c r="I2" s="32"/>
      <c r="J2" s="32"/>
    </row>
    <row r="3" spans="1:10" ht="18.75" x14ac:dyDescent="0.3">
      <c r="A3" s="30"/>
      <c r="B3" s="2"/>
      <c r="C3" s="2"/>
      <c r="D3" s="2"/>
      <c r="E3" s="2"/>
      <c r="F3" s="2"/>
      <c r="G3" s="2"/>
      <c r="H3" s="2"/>
      <c r="I3" s="32"/>
      <c r="J3" s="3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  <c r="I5" s="32"/>
      <c r="J5" s="3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25">
      <c r="A8" s="32"/>
      <c r="B8" s="1" t="s">
        <v>3</v>
      </c>
      <c r="C8" s="32" t="s">
        <v>4</v>
      </c>
      <c r="D8" s="32"/>
      <c r="E8" s="32"/>
      <c r="F8" s="32"/>
      <c r="G8" s="32"/>
      <c r="H8" s="32"/>
      <c r="I8" s="32"/>
      <c r="J8" s="32"/>
    </row>
    <row r="9" spans="1:10" x14ac:dyDescent="0.25">
      <c r="A9" s="32"/>
      <c r="B9" s="33" t="s">
        <v>8</v>
      </c>
      <c r="C9" s="44">
        <v>0.06</v>
      </c>
      <c r="D9" s="32"/>
      <c r="E9" s="32"/>
      <c r="F9" s="32"/>
      <c r="G9" s="32"/>
      <c r="H9" s="32"/>
      <c r="I9" s="32"/>
      <c r="J9" s="32"/>
    </row>
    <row r="10" spans="1:10" x14ac:dyDescent="0.25">
      <c r="A10" s="32"/>
      <c r="B10" s="33" t="s">
        <v>59</v>
      </c>
      <c r="C10" s="43">
        <v>10000000</v>
      </c>
      <c r="D10" s="32"/>
      <c r="E10" s="32"/>
      <c r="F10" s="32"/>
      <c r="G10" s="32"/>
      <c r="H10" s="32"/>
      <c r="I10" s="32"/>
      <c r="J10" s="32"/>
    </row>
    <row r="11" spans="1:10" s="33" customFormat="1" x14ac:dyDescent="0.25">
      <c r="B11" s="33" t="s">
        <v>9</v>
      </c>
      <c r="C11" s="46">
        <v>4</v>
      </c>
    </row>
    <row r="12" spans="1:10" x14ac:dyDescent="0.25">
      <c r="A12" s="8" t="s">
        <v>4</v>
      </c>
      <c r="B12" s="33" t="s">
        <v>60</v>
      </c>
      <c r="C12" s="31">
        <v>1</v>
      </c>
      <c r="D12" s="32"/>
      <c r="E12" s="32"/>
      <c r="F12" s="32"/>
      <c r="G12" s="32"/>
      <c r="H12" s="32"/>
      <c r="I12" s="32"/>
      <c r="J12" s="32"/>
    </row>
    <row r="13" spans="1:10" x14ac:dyDescent="0.25">
      <c r="A13" s="10"/>
      <c r="B13" s="33" t="s">
        <v>61</v>
      </c>
      <c r="C13" s="31">
        <v>12</v>
      </c>
      <c r="D13" s="32"/>
      <c r="E13" s="32"/>
      <c r="F13" s="32"/>
      <c r="G13" s="32"/>
      <c r="H13" s="32"/>
      <c r="I13" s="32"/>
      <c r="J13" s="32"/>
    </row>
    <row r="14" spans="1:10" x14ac:dyDescent="0.25">
      <c r="A14" s="10"/>
      <c r="B14" s="33" t="s">
        <v>62</v>
      </c>
      <c r="C14" s="86" t="s">
        <v>63</v>
      </c>
      <c r="D14" s="32"/>
      <c r="E14" s="32"/>
      <c r="F14" s="32"/>
      <c r="G14" s="32"/>
      <c r="H14" s="32"/>
      <c r="I14" s="32"/>
      <c r="J14" s="32"/>
    </row>
    <row r="15" spans="1:10" x14ac:dyDescent="0.25">
      <c r="A15" s="10"/>
      <c r="B15" s="32"/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10"/>
      <c r="B16" s="32"/>
      <c r="C16" s="32"/>
      <c r="D16" s="32"/>
      <c r="E16" s="32"/>
      <c r="F16" s="32"/>
      <c r="G16" s="32"/>
      <c r="H16" s="32"/>
      <c r="I16" s="32"/>
      <c r="J16" s="32"/>
    </row>
    <row r="17" spans="1:10" x14ac:dyDescent="0.25">
      <c r="A17" s="10"/>
      <c r="B17" s="7"/>
      <c r="C17" s="11"/>
      <c r="D17" s="12"/>
      <c r="E17" s="9"/>
      <c r="F17" s="32"/>
      <c r="G17" s="32"/>
      <c r="H17" s="32"/>
      <c r="I17" s="32"/>
      <c r="J17" s="32"/>
    </row>
    <row r="18" spans="1:10" x14ac:dyDescent="0.25">
      <c r="A18" s="13"/>
      <c r="B18" s="14"/>
      <c r="C18" s="15"/>
      <c r="D18" s="13"/>
      <c r="E18" s="16"/>
      <c r="F18" s="17"/>
      <c r="G18" s="17"/>
      <c r="H18" s="17"/>
      <c r="I18" s="17"/>
      <c r="J18" s="17"/>
    </row>
    <row r="19" spans="1:10" x14ac:dyDescent="0.25">
      <c r="A19" s="10"/>
      <c r="B19" s="32"/>
      <c r="C19" s="32"/>
      <c r="D19" s="32"/>
      <c r="E19" s="32"/>
      <c r="F19" s="32"/>
      <c r="G19" s="32"/>
      <c r="H19" s="18"/>
      <c r="I19" s="32"/>
      <c r="J19" s="32"/>
    </row>
    <row r="20" spans="1:10" x14ac:dyDescent="0.25">
      <c r="A20" s="10"/>
      <c r="B20" s="1" t="s">
        <v>5</v>
      </c>
      <c r="C20" s="32"/>
      <c r="D20" s="32"/>
      <c r="E20" s="32"/>
      <c r="F20" s="32"/>
      <c r="G20" s="32"/>
      <c r="H20" s="32"/>
      <c r="I20" s="32"/>
      <c r="J20" s="32"/>
    </row>
    <row r="21" spans="1:10" x14ac:dyDescent="0.25">
      <c r="A21" s="10"/>
      <c r="B21" s="1" t="s">
        <v>36</v>
      </c>
      <c r="C21" s="32"/>
      <c r="D21" s="32"/>
      <c r="E21" s="32"/>
      <c r="F21" s="32"/>
      <c r="G21" s="32"/>
      <c r="H21" s="32"/>
      <c r="I21" s="32"/>
      <c r="J21" s="32"/>
    </row>
    <row r="22" spans="1:10" x14ac:dyDescent="0.25">
      <c r="A22" s="10"/>
      <c r="B22" s="33" t="s">
        <v>10</v>
      </c>
      <c r="C22" s="41">
        <f>C10*(1+C9)^C11</f>
        <v>12624769.600000003</v>
      </c>
      <c r="D22" s="32"/>
      <c r="E22" s="32"/>
      <c r="F22" s="32"/>
      <c r="G22" s="32"/>
      <c r="H22" s="32"/>
      <c r="I22" s="32"/>
      <c r="J22" s="32"/>
    </row>
    <row r="23" spans="1:10" x14ac:dyDescent="0.25">
      <c r="A23" s="10"/>
      <c r="B23" s="32"/>
      <c r="C23" s="41" t="s">
        <v>4</v>
      </c>
      <c r="D23" s="32"/>
      <c r="E23" s="93"/>
      <c r="F23" s="93"/>
      <c r="G23" s="19"/>
      <c r="H23" s="32"/>
      <c r="I23" s="32"/>
      <c r="J23" s="32"/>
    </row>
    <row r="24" spans="1:10" x14ac:dyDescent="0.25">
      <c r="A24" s="10"/>
      <c r="B24" s="1" t="s">
        <v>37</v>
      </c>
      <c r="C24" s="41"/>
      <c r="D24" s="32"/>
      <c r="E24" s="32"/>
      <c r="F24" s="32"/>
      <c r="G24" s="19"/>
      <c r="H24" s="32"/>
      <c r="I24" s="32"/>
      <c r="J24" s="32"/>
    </row>
    <row r="25" spans="1:10" x14ac:dyDescent="0.25">
      <c r="A25" s="10"/>
      <c r="B25" s="1" t="s">
        <v>10</v>
      </c>
      <c r="C25" s="41">
        <f>C10*(1+C9/C13)^(C13*C11)</f>
        <v>12704891.610953795</v>
      </c>
      <c r="D25" s="32"/>
      <c r="E25" s="94"/>
      <c r="F25" s="94"/>
      <c r="G25" s="19"/>
      <c r="H25" s="32"/>
      <c r="I25" s="32"/>
      <c r="J25" s="32"/>
    </row>
    <row r="26" spans="1:10" x14ac:dyDescent="0.25">
      <c r="A26" s="10"/>
      <c r="B26" s="32"/>
      <c r="C26" s="41"/>
      <c r="D26" s="32"/>
      <c r="E26" s="32"/>
      <c r="F26" s="32"/>
      <c r="G26" s="19"/>
      <c r="H26" s="32"/>
      <c r="I26" s="32"/>
      <c r="J26" s="32"/>
    </row>
    <row r="27" spans="1:10" x14ac:dyDescent="0.25">
      <c r="A27" s="10"/>
      <c r="B27" s="1" t="s">
        <v>39</v>
      </c>
      <c r="C27" s="41"/>
      <c r="D27" s="32"/>
      <c r="E27" s="32"/>
      <c r="F27" s="32"/>
      <c r="G27" s="32"/>
      <c r="H27" s="32"/>
      <c r="I27" s="32"/>
      <c r="J27" s="32"/>
    </row>
    <row r="28" spans="1:10" x14ac:dyDescent="0.25">
      <c r="A28" s="10"/>
      <c r="B28" s="1" t="s">
        <v>10</v>
      </c>
      <c r="C28" s="41">
        <f>EXP(C9*C11)*C10</f>
        <v>12712491.503214048</v>
      </c>
      <c r="D28" s="32"/>
      <c r="E28" s="32"/>
      <c r="F28" s="32"/>
      <c r="G28" s="32"/>
      <c r="H28" s="32"/>
      <c r="I28" s="32"/>
      <c r="J28" s="32"/>
    </row>
    <row r="29" spans="1:10" x14ac:dyDescent="0.25">
      <c r="A29" s="10"/>
      <c r="B29" s="32"/>
      <c r="C29" s="32"/>
      <c r="D29" s="32"/>
      <c r="E29" s="32"/>
      <c r="F29" s="32"/>
      <c r="G29" s="32"/>
      <c r="H29" s="32"/>
      <c r="I29" s="32"/>
      <c r="J29" s="32"/>
    </row>
    <row r="30" spans="1:10" x14ac:dyDescent="0.25">
      <c r="A30" s="10"/>
      <c r="B30" s="32"/>
      <c r="C30" s="32"/>
      <c r="D30" s="32"/>
      <c r="E30" s="32"/>
      <c r="F30" s="32"/>
      <c r="G30" s="32"/>
      <c r="H30" s="32"/>
      <c r="I30" s="32"/>
      <c r="J30" s="32"/>
    </row>
    <row r="31" spans="1:10" x14ac:dyDescent="0.25">
      <c r="A31" s="10"/>
      <c r="B31" s="32"/>
      <c r="C31" s="32"/>
      <c r="D31" s="32"/>
      <c r="E31" s="32"/>
      <c r="F31" s="32"/>
      <c r="G31" s="32"/>
      <c r="H31" s="32"/>
      <c r="I31" s="32"/>
      <c r="J31" s="32"/>
    </row>
    <row r="32" spans="1:10" x14ac:dyDescent="0.25">
      <c r="A32" s="10"/>
      <c r="B32" s="20"/>
      <c r="C32" s="21"/>
      <c r="D32" s="32"/>
      <c r="E32" s="32"/>
      <c r="F32" s="32"/>
      <c r="G32" s="32"/>
      <c r="H32" s="32"/>
      <c r="I32" s="32"/>
      <c r="J32" s="32"/>
    </row>
    <row r="33" spans="1:10" x14ac:dyDescent="0.25">
      <c r="A33" s="13"/>
      <c r="B33" s="22"/>
      <c r="C33" s="23"/>
      <c r="D33" s="17"/>
      <c r="E33" s="17"/>
      <c r="F33" s="17"/>
      <c r="G33" s="17"/>
      <c r="H33" s="17"/>
      <c r="I33" s="17"/>
      <c r="J33" s="17"/>
    </row>
    <row r="34" spans="1:10" x14ac:dyDescent="0.25">
      <c r="A34" s="10"/>
      <c r="B34" s="20"/>
      <c r="C34" s="24"/>
      <c r="D34" s="32"/>
      <c r="E34" s="32"/>
      <c r="F34" s="32"/>
      <c r="G34" s="32"/>
      <c r="H34" s="32"/>
      <c r="I34" s="32"/>
      <c r="J34" s="32"/>
    </row>
    <row r="35" spans="1:10" x14ac:dyDescent="0.25">
      <c r="A35" s="6"/>
      <c r="B35" s="25" t="s">
        <v>6</v>
      </c>
      <c r="C35" s="6"/>
      <c r="D35" s="6"/>
      <c r="E35" s="6"/>
      <c r="F35" s="6"/>
      <c r="G35" s="6"/>
      <c r="H35" s="6"/>
      <c r="I35" s="6"/>
      <c r="J35" s="6"/>
    </row>
  </sheetData>
  <mergeCells count="2">
    <mergeCell ref="E23:F23"/>
    <mergeCell ref="E25:F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4" workbookViewId="0">
      <selection activeCell="C18" sqref="C18"/>
    </sheetView>
  </sheetViews>
  <sheetFormatPr defaultRowHeight="15" x14ac:dyDescent="0.25"/>
  <cols>
    <col min="2" max="2" width="27.140625" customWidth="1"/>
    <col min="3" max="3" width="15.42578125" customWidth="1"/>
    <col min="8" max="8" width="17.140625" customWidth="1"/>
  </cols>
  <sheetData>
    <row r="1" spans="1:10" s="1" customFormat="1" x14ac:dyDescent="0.25">
      <c r="A1" s="1" t="s">
        <v>64</v>
      </c>
    </row>
    <row r="2" spans="1:10" ht="18.75" x14ac:dyDescent="0.3">
      <c r="A2" s="30" t="s">
        <v>75</v>
      </c>
      <c r="B2" s="2"/>
      <c r="C2" s="2"/>
      <c r="D2" s="2"/>
      <c r="E2" s="2"/>
      <c r="F2" s="2"/>
      <c r="G2" s="2"/>
      <c r="H2" s="2"/>
      <c r="I2" s="32"/>
      <c r="J2" s="32"/>
    </row>
    <row r="3" spans="1:10" ht="18.75" x14ac:dyDescent="0.3">
      <c r="A3" s="30"/>
      <c r="B3" s="2"/>
      <c r="C3" s="2"/>
      <c r="D3" s="2"/>
      <c r="E3" s="2"/>
      <c r="F3" s="2"/>
      <c r="G3" s="2"/>
      <c r="H3" s="2"/>
      <c r="I3" s="32"/>
      <c r="J3" s="3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  <c r="I5" s="32"/>
      <c r="J5" s="3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25">
      <c r="A8" s="32"/>
      <c r="B8" s="1" t="s">
        <v>3</v>
      </c>
      <c r="C8" s="32" t="s">
        <v>4</v>
      </c>
      <c r="D8" s="32"/>
      <c r="E8" s="32"/>
      <c r="F8" s="32"/>
      <c r="G8" s="32"/>
      <c r="H8" s="32"/>
      <c r="I8" s="32"/>
      <c r="J8" s="32"/>
    </row>
    <row r="9" spans="1:10" x14ac:dyDescent="0.25">
      <c r="A9" s="32"/>
      <c r="B9" s="48" t="s">
        <v>76</v>
      </c>
      <c r="C9" s="43">
        <v>12000</v>
      </c>
      <c r="D9" s="32" t="s">
        <v>4</v>
      </c>
      <c r="E9" s="32"/>
      <c r="F9" s="32"/>
      <c r="G9" s="32"/>
      <c r="H9" s="32"/>
      <c r="I9" s="32"/>
      <c r="J9" s="32"/>
    </row>
    <row r="10" spans="1:10" x14ac:dyDescent="0.25">
      <c r="A10" s="32"/>
      <c r="B10" s="48" t="s">
        <v>77</v>
      </c>
      <c r="C10" s="44">
        <v>0.04</v>
      </c>
      <c r="D10" s="32" t="s">
        <v>4</v>
      </c>
      <c r="E10" s="32"/>
      <c r="F10" s="32"/>
      <c r="G10" s="32"/>
      <c r="H10" s="32"/>
      <c r="I10" s="32"/>
      <c r="J10" s="32"/>
    </row>
    <row r="11" spans="1:10" x14ac:dyDescent="0.25">
      <c r="A11" s="8" t="s">
        <v>4</v>
      </c>
      <c r="B11" s="48" t="s">
        <v>53</v>
      </c>
      <c r="C11" s="45">
        <v>4</v>
      </c>
      <c r="D11" s="32" t="s">
        <v>4</v>
      </c>
      <c r="E11" s="32"/>
      <c r="F11" s="32"/>
      <c r="G11" s="32"/>
      <c r="H11" s="32"/>
      <c r="I11" s="32"/>
      <c r="J11" s="32"/>
    </row>
    <row r="12" spans="1:10" x14ac:dyDescent="0.25">
      <c r="A12" s="10"/>
      <c r="B12" s="48" t="s">
        <v>78</v>
      </c>
      <c r="C12" s="43">
        <v>16000</v>
      </c>
      <c r="D12" s="32" t="s">
        <v>4</v>
      </c>
      <c r="E12" s="32"/>
      <c r="F12" s="32"/>
      <c r="G12" s="32"/>
      <c r="H12" s="32"/>
      <c r="I12" s="32"/>
      <c r="J12" s="32"/>
    </row>
    <row r="13" spans="1:10" x14ac:dyDescent="0.25">
      <c r="A13" s="10"/>
      <c r="B13" s="48" t="s">
        <v>55</v>
      </c>
      <c r="C13" s="45">
        <v>5</v>
      </c>
      <c r="D13" s="32" t="s">
        <v>4</v>
      </c>
      <c r="E13" s="32"/>
      <c r="F13" s="32"/>
      <c r="G13" s="32"/>
      <c r="H13" s="32"/>
      <c r="I13" s="32"/>
      <c r="J13" s="32"/>
    </row>
    <row r="14" spans="1:10" x14ac:dyDescent="0.25">
      <c r="A14" s="10"/>
      <c r="B14" s="48" t="s">
        <v>79</v>
      </c>
      <c r="C14" s="44">
        <v>7.0000000000000007E-2</v>
      </c>
      <c r="D14" s="32" t="s">
        <v>4</v>
      </c>
      <c r="E14" s="32"/>
      <c r="F14" s="32"/>
      <c r="G14" s="32"/>
      <c r="H14" s="32"/>
      <c r="I14" s="32"/>
      <c r="J14" s="32"/>
    </row>
    <row r="15" spans="1:10" s="48" customFormat="1" x14ac:dyDescent="0.25">
      <c r="A15" s="10"/>
      <c r="B15" s="48" t="s">
        <v>80</v>
      </c>
      <c r="C15" s="53">
        <v>80000</v>
      </c>
      <c r="D15" s="48" t="s">
        <v>4</v>
      </c>
    </row>
    <row r="16" spans="1:10" s="48" customFormat="1" x14ac:dyDescent="0.25">
      <c r="A16" s="10"/>
      <c r="B16" s="48" t="s">
        <v>81</v>
      </c>
      <c r="C16" s="44">
        <v>7.0000000000000007E-2</v>
      </c>
    </row>
    <row r="17" spans="1:10" x14ac:dyDescent="0.25">
      <c r="A17" s="10"/>
      <c r="B17" s="48" t="s">
        <v>33</v>
      </c>
      <c r="C17" s="45">
        <v>5</v>
      </c>
      <c r="D17" s="32"/>
      <c r="E17" s="32"/>
      <c r="F17" s="32"/>
      <c r="G17" s="32"/>
      <c r="H17" s="32"/>
      <c r="I17" s="32"/>
      <c r="J17" s="32"/>
    </row>
    <row r="18" spans="1:10" x14ac:dyDescent="0.25">
      <c r="A18" s="10"/>
      <c r="B18" s="7"/>
      <c r="C18" s="11"/>
      <c r="D18" s="12"/>
      <c r="E18" s="9"/>
      <c r="F18" s="32"/>
      <c r="G18" s="32"/>
      <c r="H18" s="32"/>
      <c r="I18" s="32"/>
      <c r="J18" s="32"/>
    </row>
    <row r="19" spans="1:10" x14ac:dyDescent="0.25">
      <c r="A19" s="13"/>
      <c r="B19" s="14"/>
      <c r="C19" s="15"/>
      <c r="D19" s="13"/>
      <c r="E19" s="16"/>
      <c r="F19" s="17"/>
      <c r="G19" s="17"/>
      <c r="H19" s="17"/>
      <c r="I19" s="17"/>
      <c r="J19" s="17"/>
    </row>
    <row r="20" spans="1:10" x14ac:dyDescent="0.25">
      <c r="A20" s="10"/>
      <c r="B20" s="32"/>
      <c r="C20" s="32"/>
      <c r="D20" s="32"/>
      <c r="E20" s="32"/>
      <c r="F20" s="32"/>
      <c r="G20" s="32"/>
      <c r="H20" s="18"/>
      <c r="I20" s="32"/>
      <c r="J20" s="32"/>
    </row>
    <row r="21" spans="1:10" x14ac:dyDescent="0.25">
      <c r="A21" s="10"/>
      <c r="B21" s="1" t="s">
        <v>5</v>
      </c>
      <c r="C21" s="32"/>
      <c r="D21" s="32"/>
      <c r="E21" s="32"/>
      <c r="F21" s="32"/>
      <c r="G21" s="32"/>
      <c r="H21" s="32"/>
      <c r="I21" s="32"/>
      <c r="J21" s="32"/>
    </row>
    <row r="22" spans="1:10" x14ac:dyDescent="0.25">
      <c r="A22" s="10"/>
      <c r="B22" s="1"/>
      <c r="C22" s="32"/>
      <c r="D22" s="32"/>
      <c r="E22" s="32"/>
      <c r="F22" s="32"/>
      <c r="G22" s="32"/>
      <c r="H22" s="32"/>
      <c r="I22" s="32"/>
      <c r="J22" s="32"/>
    </row>
    <row r="23" spans="1:10" x14ac:dyDescent="0.25">
      <c r="A23" s="10"/>
      <c r="B23" s="1" t="s">
        <v>36</v>
      </c>
      <c r="C23" s="32"/>
      <c r="D23" s="32"/>
      <c r="E23" s="32"/>
      <c r="F23" s="32"/>
      <c r="G23" s="32"/>
      <c r="H23" s="32"/>
      <c r="I23" s="32"/>
      <c r="J23" s="32"/>
    </row>
    <row r="24" spans="1:10" x14ac:dyDescent="0.25">
      <c r="A24" s="10"/>
      <c r="B24" s="48" t="s">
        <v>40</v>
      </c>
      <c r="C24" s="38">
        <f>C9/(1+C10)^C11</f>
        <v>10257.650292356708</v>
      </c>
      <c r="D24" s="32"/>
      <c r="E24" s="93"/>
      <c r="F24" s="93"/>
      <c r="G24" s="19"/>
      <c r="H24" s="32"/>
      <c r="I24" s="32"/>
      <c r="J24" s="32"/>
    </row>
    <row r="25" spans="1:10" x14ac:dyDescent="0.25">
      <c r="A25" s="10"/>
      <c r="B25" s="32"/>
      <c r="C25" s="32"/>
      <c r="D25" s="32"/>
      <c r="E25" s="32"/>
      <c r="F25" s="32"/>
      <c r="G25" s="19"/>
      <c r="H25" s="32"/>
      <c r="I25" s="32"/>
      <c r="J25" s="32"/>
    </row>
    <row r="26" spans="1:10" x14ac:dyDescent="0.25">
      <c r="A26" s="10"/>
      <c r="B26" s="1" t="s">
        <v>37</v>
      </c>
      <c r="C26" s="32"/>
      <c r="D26" s="32"/>
      <c r="E26" s="94"/>
      <c r="F26" s="94"/>
      <c r="G26" s="19"/>
      <c r="H26" s="32"/>
      <c r="I26" s="32"/>
      <c r="J26" s="32"/>
    </row>
    <row r="27" spans="1:10" x14ac:dyDescent="0.25">
      <c r="A27" s="10"/>
      <c r="B27" s="40" t="s">
        <v>40</v>
      </c>
      <c r="C27" s="38">
        <f>C12*((1/C14)-(1/(C14*(1+C14)^C13)))</f>
        <v>65603.15897516151</v>
      </c>
      <c r="D27" s="32"/>
      <c r="E27" s="32"/>
      <c r="F27" s="32"/>
      <c r="G27" s="19"/>
      <c r="H27" s="32"/>
      <c r="I27" s="32"/>
      <c r="J27" s="32"/>
    </row>
    <row r="28" spans="1:10" x14ac:dyDescent="0.25">
      <c r="A28" s="10"/>
      <c r="B28" s="32"/>
      <c r="C28" s="32"/>
      <c r="D28" s="32"/>
      <c r="E28" s="32"/>
      <c r="F28" s="32"/>
      <c r="G28" s="32"/>
      <c r="H28" s="32"/>
      <c r="I28" s="32"/>
      <c r="J28" s="32"/>
    </row>
    <row r="29" spans="1:10" x14ac:dyDescent="0.25">
      <c r="A29" s="10"/>
      <c r="B29" s="48" t="s">
        <v>39</v>
      </c>
      <c r="C29" s="32"/>
      <c r="D29" s="32"/>
      <c r="E29" s="32"/>
      <c r="F29" s="32"/>
      <c r="G29" s="32"/>
      <c r="H29" s="32"/>
      <c r="I29" s="32"/>
      <c r="J29" s="32"/>
    </row>
    <row r="30" spans="1:10" ht="18" x14ac:dyDescent="0.35">
      <c r="A30" s="10"/>
      <c r="B30" s="48" t="s">
        <v>82</v>
      </c>
      <c r="C30" s="38">
        <f>(C15-C27)*(1+C16)^C17</f>
        <v>20192.31429599999</v>
      </c>
      <c r="D30" s="32"/>
      <c r="E30" s="32"/>
      <c r="F30" s="32"/>
      <c r="G30" s="32"/>
      <c r="H30" s="32"/>
      <c r="I30" s="32"/>
      <c r="J30" s="32"/>
    </row>
    <row r="31" spans="1:10" x14ac:dyDescent="0.25">
      <c r="A31" s="10"/>
      <c r="B31" s="32"/>
      <c r="C31" s="32"/>
      <c r="D31" s="32"/>
      <c r="E31" s="32"/>
      <c r="F31" s="32"/>
      <c r="G31" s="32"/>
      <c r="H31" s="32"/>
      <c r="I31" s="32"/>
      <c r="J31" s="32"/>
    </row>
    <row r="32" spans="1:10" x14ac:dyDescent="0.25">
      <c r="A32" s="10"/>
      <c r="B32" s="32"/>
      <c r="C32" s="32"/>
      <c r="D32" s="32"/>
      <c r="E32" s="32"/>
      <c r="F32" s="32"/>
      <c r="G32" s="32"/>
      <c r="H32" s="32"/>
      <c r="I32" s="32"/>
      <c r="J32" s="32"/>
    </row>
    <row r="33" spans="1:10" x14ac:dyDescent="0.25">
      <c r="A33" s="10"/>
      <c r="B33" s="20"/>
      <c r="C33" s="21"/>
      <c r="D33" s="32"/>
      <c r="E33" s="32"/>
      <c r="F33" s="32"/>
      <c r="G33" s="32"/>
      <c r="H33" s="32"/>
      <c r="I33" s="32"/>
      <c r="J33" s="32"/>
    </row>
    <row r="34" spans="1:10" x14ac:dyDescent="0.25">
      <c r="A34" s="13"/>
      <c r="B34" s="22"/>
      <c r="C34" s="23"/>
      <c r="D34" s="17"/>
      <c r="E34" s="17"/>
      <c r="F34" s="17"/>
      <c r="G34" s="17"/>
      <c r="H34" s="17"/>
      <c r="I34" s="17"/>
      <c r="J34" s="17"/>
    </row>
    <row r="35" spans="1:10" x14ac:dyDescent="0.25">
      <c r="A35" s="10"/>
      <c r="B35" s="20"/>
      <c r="C35" s="24"/>
      <c r="D35" s="32"/>
      <c r="E35" s="32"/>
      <c r="F35" s="32"/>
      <c r="G35" s="32"/>
      <c r="H35" s="32"/>
      <c r="I35" s="32"/>
      <c r="J35" s="32"/>
    </row>
    <row r="36" spans="1:10" x14ac:dyDescent="0.25">
      <c r="A36" s="6"/>
      <c r="B36" s="25" t="s">
        <v>6</v>
      </c>
      <c r="C36" s="6"/>
      <c r="D36" s="6"/>
      <c r="E36" s="6"/>
      <c r="F36" s="6"/>
      <c r="G36" s="6"/>
      <c r="H36" s="6"/>
      <c r="I36" s="6"/>
      <c r="J36" s="6"/>
    </row>
  </sheetData>
  <mergeCells count="2">
    <mergeCell ref="E24:F24"/>
    <mergeCell ref="E26:F2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F18" sqref="F17:F18"/>
    </sheetView>
  </sheetViews>
  <sheetFormatPr defaultRowHeight="15" x14ac:dyDescent="0.25"/>
  <cols>
    <col min="1" max="1" width="10" customWidth="1"/>
    <col min="2" max="2" width="24" customWidth="1"/>
    <col min="3" max="3" width="16.7109375" bestFit="1" customWidth="1"/>
    <col min="8" max="8" width="17" customWidth="1"/>
  </cols>
  <sheetData>
    <row r="1" spans="1:10" s="1" customFormat="1" x14ac:dyDescent="0.25">
      <c r="A1" s="1" t="s">
        <v>64</v>
      </c>
    </row>
    <row r="2" spans="1:10" ht="18.75" x14ac:dyDescent="0.3">
      <c r="A2" s="30" t="s">
        <v>83</v>
      </c>
      <c r="B2" s="2"/>
      <c r="C2" s="2"/>
      <c r="D2" s="2"/>
      <c r="E2" s="2"/>
      <c r="F2" s="2"/>
      <c r="G2" s="2"/>
      <c r="H2" s="2"/>
      <c r="I2" s="32"/>
      <c r="J2" s="32"/>
    </row>
    <row r="3" spans="1:10" ht="18.75" x14ac:dyDescent="0.3">
      <c r="A3" s="30"/>
      <c r="B3" s="2"/>
      <c r="C3" s="2"/>
      <c r="D3" s="2"/>
      <c r="E3" s="2"/>
      <c r="F3" s="2"/>
      <c r="G3" s="2"/>
      <c r="H3" s="2"/>
      <c r="I3" s="32"/>
      <c r="J3" s="3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  <c r="I5" s="32"/>
      <c r="J5" s="3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25">
      <c r="A8" s="32"/>
      <c r="B8" s="1" t="s">
        <v>3</v>
      </c>
      <c r="C8" s="32" t="s">
        <v>4</v>
      </c>
      <c r="D8" s="32"/>
      <c r="E8" s="32"/>
      <c r="F8" s="32"/>
      <c r="G8" s="32"/>
      <c r="H8" s="32"/>
      <c r="I8" s="32"/>
      <c r="J8" s="32"/>
    </row>
    <row r="9" spans="1:10" x14ac:dyDescent="0.25">
      <c r="A9" s="32"/>
      <c r="B9" s="48" t="s">
        <v>84</v>
      </c>
      <c r="C9" s="52">
        <v>0.90500000000000003</v>
      </c>
      <c r="D9" s="32"/>
      <c r="E9" s="32"/>
      <c r="F9" s="32"/>
      <c r="G9" s="32"/>
      <c r="H9" s="32"/>
      <c r="I9" s="32"/>
      <c r="J9" s="32"/>
    </row>
    <row r="10" spans="1:10" x14ac:dyDescent="0.25">
      <c r="A10" s="32"/>
      <c r="B10" s="48" t="s">
        <v>85</v>
      </c>
      <c r="C10" s="50">
        <v>0.105</v>
      </c>
      <c r="D10" s="32"/>
      <c r="E10" s="32"/>
      <c r="F10" s="32"/>
      <c r="G10" s="32"/>
      <c r="H10" s="32"/>
      <c r="I10" s="32"/>
      <c r="J10" s="32"/>
    </row>
    <row r="11" spans="1:10" x14ac:dyDescent="0.25">
      <c r="A11" s="8" t="s">
        <v>4</v>
      </c>
      <c r="B11" s="48" t="s">
        <v>87</v>
      </c>
      <c r="C11" s="51">
        <v>10</v>
      </c>
      <c r="D11" s="32"/>
      <c r="E11" s="32"/>
      <c r="F11" s="32"/>
      <c r="G11" s="32"/>
      <c r="H11" s="32"/>
      <c r="I11" s="32"/>
      <c r="J11" s="32"/>
    </row>
    <row r="12" spans="1:10" x14ac:dyDescent="0.25">
      <c r="A12" s="10"/>
      <c r="B12" s="48" t="s">
        <v>86</v>
      </c>
      <c r="C12" s="31">
        <v>3</v>
      </c>
      <c r="D12" s="32"/>
      <c r="E12" s="32"/>
      <c r="F12" s="32"/>
      <c r="G12" s="32"/>
      <c r="H12" s="32"/>
      <c r="I12" s="32"/>
      <c r="J12" s="32"/>
    </row>
    <row r="13" spans="1:10" x14ac:dyDescent="0.25">
      <c r="A13" s="10"/>
      <c r="B13" s="48" t="s">
        <v>88</v>
      </c>
      <c r="C13" s="49">
        <v>24.65</v>
      </c>
      <c r="D13" s="32"/>
      <c r="E13" s="32"/>
      <c r="F13" s="32"/>
      <c r="G13" s="32"/>
      <c r="H13" s="32"/>
      <c r="I13" s="32"/>
      <c r="J13" s="32"/>
    </row>
    <row r="14" spans="1:10" x14ac:dyDescent="0.25">
      <c r="A14" s="10"/>
      <c r="B14" s="32"/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10"/>
      <c r="B15" s="7"/>
      <c r="C15" s="11"/>
      <c r="D15" s="12"/>
      <c r="E15" s="9"/>
      <c r="F15" s="32"/>
      <c r="G15" s="32"/>
      <c r="H15" s="32"/>
      <c r="I15" s="32"/>
      <c r="J15" s="32"/>
    </row>
    <row r="16" spans="1:10" x14ac:dyDescent="0.25">
      <c r="A16" s="13"/>
      <c r="B16" s="14"/>
      <c r="C16" s="15"/>
      <c r="D16" s="13"/>
      <c r="E16" s="16"/>
      <c r="F16" s="17"/>
      <c r="G16" s="17"/>
      <c r="H16" s="17"/>
      <c r="I16" s="17"/>
      <c r="J16" s="17"/>
    </row>
    <row r="17" spans="1:10" x14ac:dyDescent="0.25">
      <c r="A17" s="10"/>
      <c r="B17" s="32"/>
      <c r="C17" s="32"/>
      <c r="D17" s="32"/>
      <c r="E17" s="32"/>
      <c r="F17" s="32"/>
      <c r="G17" s="32"/>
      <c r="H17" s="18"/>
      <c r="I17" s="32"/>
      <c r="J17" s="32"/>
    </row>
    <row r="18" spans="1:10" x14ac:dyDescent="0.25">
      <c r="A18" s="10"/>
      <c r="B18" s="1" t="s">
        <v>5</v>
      </c>
      <c r="C18" s="32"/>
      <c r="D18" s="32"/>
      <c r="E18" s="32"/>
      <c r="F18" s="32"/>
      <c r="G18" s="32"/>
      <c r="H18" s="32"/>
      <c r="I18" s="32"/>
      <c r="J18" s="32"/>
    </row>
    <row r="19" spans="1:10" x14ac:dyDescent="0.25">
      <c r="A19" s="10"/>
      <c r="B19" s="1" t="s">
        <v>36</v>
      </c>
      <c r="C19" s="32"/>
      <c r="D19" s="32"/>
      <c r="E19" s="32"/>
      <c r="F19" s="32"/>
      <c r="G19" s="32"/>
      <c r="H19" s="32"/>
      <c r="I19" s="32"/>
      <c r="J19" s="32"/>
    </row>
    <row r="20" spans="1:10" x14ac:dyDescent="0.25">
      <c r="A20" s="10"/>
      <c r="B20" s="57" t="s">
        <v>117</v>
      </c>
      <c r="C20" s="59">
        <f>(1-C9)/C9</f>
        <v>0.1049723756906077</v>
      </c>
      <c r="D20" s="32"/>
      <c r="E20" s="32"/>
      <c r="F20" s="32"/>
      <c r="G20" s="32"/>
      <c r="H20" s="32"/>
      <c r="I20" s="32"/>
      <c r="J20" s="32"/>
    </row>
    <row r="21" spans="1:10" x14ac:dyDescent="0.25">
      <c r="A21" s="10"/>
      <c r="B21" s="32"/>
      <c r="C21" s="32"/>
      <c r="D21" s="32"/>
      <c r="E21" s="93"/>
      <c r="F21" s="93"/>
      <c r="G21" s="19"/>
      <c r="H21" s="32"/>
      <c r="I21" s="32"/>
      <c r="J21" s="32"/>
    </row>
    <row r="22" spans="1:10" x14ac:dyDescent="0.25">
      <c r="A22" s="10"/>
      <c r="B22" s="1" t="s">
        <v>37</v>
      </c>
      <c r="C22" s="32"/>
      <c r="D22" s="32"/>
      <c r="E22" s="32"/>
      <c r="F22" s="32"/>
      <c r="G22" s="19"/>
      <c r="H22" s="32"/>
      <c r="I22" s="32"/>
      <c r="J22" s="32"/>
    </row>
    <row r="23" spans="1:10" ht="18" x14ac:dyDescent="0.35">
      <c r="A23" s="10"/>
      <c r="B23" s="40" t="s">
        <v>118</v>
      </c>
      <c r="C23" s="39">
        <f>1/(1+C10)^2</f>
        <v>0.81898405028562071</v>
      </c>
      <c r="D23" s="32"/>
      <c r="E23" s="94"/>
      <c r="F23" s="94"/>
      <c r="G23" s="19"/>
      <c r="H23" s="32"/>
      <c r="I23" s="32"/>
      <c r="J23" s="32"/>
    </row>
    <row r="24" spans="1:10" x14ac:dyDescent="0.25">
      <c r="A24" s="10"/>
      <c r="B24" s="32"/>
      <c r="C24" s="32"/>
      <c r="D24" s="32"/>
      <c r="E24" s="32"/>
      <c r="F24" s="32"/>
      <c r="G24" s="19"/>
      <c r="H24" s="32"/>
      <c r="I24" s="32"/>
      <c r="J24" s="32"/>
    </row>
    <row r="25" spans="1:10" x14ac:dyDescent="0.25">
      <c r="A25" s="10"/>
      <c r="B25" s="1" t="s">
        <v>39</v>
      </c>
      <c r="C25" s="32"/>
      <c r="D25" s="32"/>
      <c r="E25" s="32"/>
      <c r="F25" s="32"/>
      <c r="G25" s="32"/>
      <c r="H25" s="32"/>
      <c r="I25" s="32"/>
      <c r="J25" s="32"/>
    </row>
    <row r="26" spans="1:10" ht="18" x14ac:dyDescent="0.35">
      <c r="A26" s="10"/>
      <c r="B26" s="32" t="s">
        <v>119</v>
      </c>
      <c r="C26" s="60">
        <f>C9+C23</f>
        <v>1.7239840502856207</v>
      </c>
      <c r="D26" s="32"/>
      <c r="E26" s="32"/>
      <c r="F26" s="32"/>
      <c r="G26" s="32"/>
      <c r="H26" s="32"/>
      <c r="I26" s="32"/>
      <c r="J26" s="32"/>
    </row>
    <row r="27" spans="1:10" x14ac:dyDescent="0.25">
      <c r="A27" s="10"/>
      <c r="B27" s="32"/>
      <c r="C27" s="32"/>
      <c r="D27" s="32"/>
      <c r="E27" s="32"/>
      <c r="F27" s="32"/>
      <c r="G27" s="32"/>
      <c r="H27" s="32"/>
      <c r="I27" s="32"/>
      <c r="J27" s="32"/>
    </row>
    <row r="28" spans="1:10" x14ac:dyDescent="0.25">
      <c r="A28" s="10"/>
      <c r="B28" s="1" t="s">
        <v>41</v>
      </c>
      <c r="C28" s="32"/>
      <c r="D28" s="32"/>
      <c r="E28" s="32"/>
      <c r="F28" s="32"/>
      <c r="G28" s="32"/>
      <c r="H28" s="32"/>
      <c r="I28" s="32"/>
      <c r="J28" s="32"/>
    </row>
    <row r="29" spans="1:10" ht="18" x14ac:dyDescent="0.35">
      <c r="A29" s="10"/>
      <c r="B29" s="32" t="s">
        <v>121</v>
      </c>
      <c r="C29" s="60">
        <f>C13/C11</f>
        <v>2.4649999999999999</v>
      </c>
      <c r="D29" s="32"/>
      <c r="E29" s="32"/>
      <c r="F29" s="32"/>
      <c r="G29" s="32"/>
      <c r="H29" s="32"/>
      <c r="I29" s="32"/>
      <c r="J29" s="32"/>
    </row>
    <row r="30" spans="1:10" s="54" customFormat="1" x14ac:dyDescent="0.25">
      <c r="A30" s="10"/>
      <c r="C30" s="42"/>
    </row>
    <row r="31" spans="1:10" s="54" customFormat="1" x14ac:dyDescent="0.25">
      <c r="A31" s="10"/>
      <c r="B31" s="1" t="s">
        <v>120</v>
      </c>
      <c r="C31" s="42"/>
    </row>
    <row r="32" spans="1:10" s="54" customFormat="1" ht="18" x14ac:dyDescent="0.35">
      <c r="A32" s="10"/>
      <c r="B32" s="61" t="s">
        <v>122</v>
      </c>
      <c r="C32" s="39">
        <f>C29-C26</f>
        <v>0.74101594971437912</v>
      </c>
    </row>
    <row r="33" spans="1:10" x14ac:dyDescent="0.25">
      <c r="A33" s="10"/>
      <c r="B33" s="20"/>
      <c r="C33" s="21"/>
      <c r="D33" s="32"/>
      <c r="E33" s="32"/>
      <c r="F33" s="32"/>
      <c r="G33" s="32"/>
      <c r="H33" s="32"/>
      <c r="I33" s="32"/>
      <c r="J33" s="32"/>
    </row>
    <row r="34" spans="1:10" x14ac:dyDescent="0.25">
      <c r="A34" s="13"/>
      <c r="B34" s="22"/>
      <c r="C34" s="23"/>
      <c r="D34" s="17"/>
      <c r="E34" s="17"/>
      <c r="F34" s="17"/>
      <c r="G34" s="17"/>
      <c r="H34" s="17"/>
      <c r="I34" s="17"/>
      <c r="J34" s="17"/>
    </row>
    <row r="35" spans="1:10" x14ac:dyDescent="0.25">
      <c r="A35" s="10"/>
      <c r="B35" s="20"/>
      <c r="C35" s="24"/>
      <c r="D35" s="32"/>
      <c r="E35" s="32"/>
      <c r="F35" s="32"/>
      <c r="G35" s="32"/>
      <c r="H35" s="32"/>
      <c r="I35" s="32"/>
      <c r="J35" s="32"/>
    </row>
    <row r="36" spans="1:10" x14ac:dyDescent="0.25">
      <c r="A36" s="6"/>
      <c r="B36" s="25" t="s">
        <v>6</v>
      </c>
      <c r="C36" s="6"/>
      <c r="D36" s="6"/>
      <c r="E36" s="6"/>
      <c r="F36" s="6"/>
      <c r="G36" s="6"/>
      <c r="H36" s="6"/>
      <c r="I36" s="6"/>
      <c r="J36" s="6"/>
    </row>
  </sheetData>
  <mergeCells count="2">
    <mergeCell ref="E21:F21"/>
    <mergeCell ref="E23:F2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12" sqref="C12"/>
    </sheetView>
  </sheetViews>
  <sheetFormatPr defaultRowHeight="15" x14ac:dyDescent="0.25"/>
  <cols>
    <col min="1" max="1" width="10" style="34" customWidth="1"/>
    <col min="2" max="2" width="38.140625" style="34" customWidth="1"/>
    <col min="3" max="3" width="20.42578125" style="34" bestFit="1" customWidth="1"/>
    <col min="4" max="16384" width="9.140625" style="34"/>
  </cols>
  <sheetData>
    <row r="1" spans="1:10" s="1" customFormat="1" x14ac:dyDescent="0.25">
      <c r="A1" s="1" t="s">
        <v>64</v>
      </c>
    </row>
    <row r="2" spans="1:10" ht="18.75" x14ac:dyDescent="0.3">
      <c r="A2" s="30" t="s">
        <v>89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34" t="s">
        <v>4</v>
      </c>
    </row>
    <row r="9" spans="1:10" x14ac:dyDescent="0.25">
      <c r="B9" s="48" t="s">
        <v>90</v>
      </c>
      <c r="C9" s="43">
        <v>825000</v>
      </c>
    </row>
    <row r="10" spans="1:10" x14ac:dyDescent="0.25">
      <c r="B10" s="48" t="s">
        <v>91</v>
      </c>
      <c r="C10" s="43">
        <v>190000</v>
      </c>
    </row>
    <row r="11" spans="1:10" x14ac:dyDescent="0.25">
      <c r="A11" s="8" t="s">
        <v>4</v>
      </c>
      <c r="B11" s="48" t="s">
        <v>9</v>
      </c>
      <c r="C11" s="45">
        <v>12</v>
      </c>
    </row>
    <row r="12" spans="1:10" x14ac:dyDescent="0.25">
      <c r="A12" s="10"/>
      <c r="B12" s="48" t="s">
        <v>14</v>
      </c>
      <c r="C12" s="44">
        <v>0.14000000000000001</v>
      </c>
    </row>
    <row r="13" spans="1:10" x14ac:dyDescent="0.25">
      <c r="A13" s="10"/>
      <c r="B13" s="48" t="s">
        <v>92</v>
      </c>
      <c r="C13" s="45">
        <v>7</v>
      </c>
    </row>
    <row r="14" spans="1:10" x14ac:dyDescent="0.25">
      <c r="A14" s="10"/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B20" s="1"/>
    </row>
    <row r="21" spans="1:10" x14ac:dyDescent="0.25">
      <c r="A21" s="10"/>
      <c r="B21" s="48" t="s">
        <v>20</v>
      </c>
      <c r="C21" s="38">
        <f>-C9+C10*((1/C12)-(1/(C12*(1+C12)^C11)))</f>
        <v>250455.50384409097</v>
      </c>
    </row>
    <row r="22" spans="1:10" x14ac:dyDescent="0.25">
      <c r="A22" s="10"/>
      <c r="E22" s="93"/>
      <c r="F22" s="93"/>
      <c r="G22" s="19"/>
    </row>
    <row r="23" spans="1:10" x14ac:dyDescent="0.25">
      <c r="A23" s="10"/>
      <c r="B23" s="48" t="s">
        <v>106</v>
      </c>
      <c r="C23" s="38">
        <f>C10*((1/C12)-(1/(C12*(1+C12)^C13)))</f>
        <v>814777.91942375177</v>
      </c>
      <c r="G23" s="19"/>
    </row>
    <row r="24" spans="1:10" x14ac:dyDescent="0.25">
      <c r="A24" s="10"/>
      <c r="E24" s="94"/>
      <c r="F24" s="94"/>
      <c r="G24" s="19"/>
    </row>
    <row r="25" spans="1:10" x14ac:dyDescent="0.25">
      <c r="A25" s="10"/>
      <c r="G25" s="19"/>
    </row>
    <row r="26" spans="1:10" x14ac:dyDescent="0.25">
      <c r="A26" s="10"/>
    </row>
    <row r="27" spans="1:10" x14ac:dyDescent="0.25">
      <c r="A27" s="10"/>
    </row>
    <row r="28" spans="1:10" x14ac:dyDescent="0.25">
      <c r="A28" s="10"/>
    </row>
    <row r="29" spans="1:10" x14ac:dyDescent="0.25">
      <c r="A29" s="10"/>
    </row>
    <row r="30" spans="1:10" x14ac:dyDescent="0.25">
      <c r="A30" s="10"/>
    </row>
    <row r="31" spans="1:10" x14ac:dyDescent="0.25">
      <c r="A31" s="10"/>
      <c r="B31" s="20"/>
      <c r="C31" s="21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</sheetData>
  <mergeCells count="2">
    <mergeCell ref="E22:F22"/>
    <mergeCell ref="E24:F2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4" workbookViewId="0">
      <selection activeCell="C13" sqref="C13"/>
    </sheetView>
  </sheetViews>
  <sheetFormatPr defaultRowHeight="15" x14ac:dyDescent="0.25"/>
  <cols>
    <col min="1" max="1" width="10" style="47" customWidth="1"/>
    <col min="2" max="2" width="38.140625" style="47" customWidth="1"/>
    <col min="3" max="3" width="11.140625" style="47" bestFit="1" customWidth="1"/>
    <col min="4" max="16384" width="9.140625" style="47"/>
  </cols>
  <sheetData>
    <row r="1" spans="1:10" s="1" customFormat="1" x14ac:dyDescent="0.25">
      <c r="A1" s="1" t="s">
        <v>64</v>
      </c>
    </row>
    <row r="2" spans="1:10" ht="18.75" x14ac:dyDescent="0.3">
      <c r="A2" s="30" t="s">
        <v>93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47" t="s">
        <v>4</v>
      </c>
    </row>
    <row r="9" spans="1:10" x14ac:dyDescent="0.25">
      <c r="B9" s="48" t="s">
        <v>94</v>
      </c>
      <c r="C9" s="43">
        <v>380000</v>
      </c>
    </row>
    <row r="10" spans="1:10" x14ac:dyDescent="0.25">
      <c r="B10" s="48" t="s">
        <v>95</v>
      </c>
      <c r="C10" s="45">
        <v>50</v>
      </c>
      <c r="D10" s="48" t="s">
        <v>105</v>
      </c>
    </row>
    <row r="11" spans="1:10" s="48" customFormat="1" x14ac:dyDescent="0.25">
      <c r="B11" s="48" t="s">
        <v>96</v>
      </c>
      <c r="C11" s="45">
        <v>57</v>
      </c>
      <c r="D11" s="48" t="s">
        <v>105</v>
      </c>
    </row>
    <row r="12" spans="1:10" s="48" customFormat="1" x14ac:dyDescent="0.25">
      <c r="B12" s="48" t="s">
        <v>97</v>
      </c>
      <c r="C12" s="45">
        <v>75</v>
      </c>
      <c r="D12" s="48" t="s">
        <v>105</v>
      </c>
    </row>
    <row r="13" spans="1:10" s="48" customFormat="1" x14ac:dyDescent="0.25">
      <c r="B13" s="48" t="s">
        <v>98</v>
      </c>
      <c r="C13" s="45">
        <v>80</v>
      </c>
      <c r="D13" s="48" t="s">
        <v>105</v>
      </c>
    </row>
    <row r="14" spans="1:10" s="48" customFormat="1" x14ac:dyDescent="0.25">
      <c r="B14" s="48" t="s">
        <v>99</v>
      </c>
      <c r="C14" s="45">
        <v>85</v>
      </c>
      <c r="D14" s="48" t="s">
        <v>105</v>
      </c>
    </row>
    <row r="15" spans="1:10" s="48" customFormat="1" x14ac:dyDescent="0.25">
      <c r="B15" s="48" t="s">
        <v>100</v>
      </c>
      <c r="C15" s="45">
        <v>92</v>
      </c>
      <c r="D15" s="48" t="s">
        <v>105</v>
      </c>
    </row>
    <row r="16" spans="1:10" x14ac:dyDescent="0.25">
      <c r="A16" s="8" t="s">
        <v>4</v>
      </c>
      <c r="B16" s="48" t="s">
        <v>101</v>
      </c>
      <c r="C16" s="45">
        <v>92</v>
      </c>
      <c r="D16" s="48" t="s">
        <v>105</v>
      </c>
    </row>
    <row r="17" spans="1:10" x14ac:dyDescent="0.25">
      <c r="A17" s="10"/>
      <c r="B17" s="48" t="s">
        <v>102</v>
      </c>
      <c r="C17" s="45">
        <v>80</v>
      </c>
      <c r="D17" s="48" t="s">
        <v>105</v>
      </c>
    </row>
    <row r="18" spans="1:10" x14ac:dyDescent="0.25">
      <c r="A18" s="10"/>
      <c r="B18" s="48" t="s">
        <v>103</v>
      </c>
      <c r="C18" s="45">
        <v>68</v>
      </c>
      <c r="D18" s="48" t="s">
        <v>105</v>
      </c>
    </row>
    <row r="19" spans="1:10" x14ac:dyDescent="0.25">
      <c r="A19" s="10"/>
      <c r="B19" s="48" t="s">
        <v>104</v>
      </c>
      <c r="C19" s="45">
        <v>50</v>
      </c>
      <c r="D19" s="48" t="s">
        <v>105</v>
      </c>
    </row>
    <row r="20" spans="1:10" x14ac:dyDescent="0.25">
      <c r="A20" s="10"/>
      <c r="B20" s="48" t="s">
        <v>14</v>
      </c>
      <c r="C20" s="44">
        <v>0.12</v>
      </c>
    </row>
    <row r="21" spans="1:10" x14ac:dyDescent="0.25">
      <c r="A21" s="10"/>
      <c r="B21" s="7"/>
      <c r="C21" s="11"/>
      <c r="D21" s="12"/>
      <c r="E21" s="9"/>
    </row>
    <row r="22" spans="1:10" x14ac:dyDescent="0.25">
      <c r="A22" s="13"/>
      <c r="B22" s="14"/>
      <c r="C22" s="15"/>
      <c r="D22" s="13"/>
      <c r="E22" s="16"/>
      <c r="F22" s="17"/>
      <c r="G22" s="17"/>
      <c r="H22" s="17"/>
      <c r="I22" s="17"/>
      <c r="J22" s="17"/>
    </row>
    <row r="23" spans="1:10" x14ac:dyDescent="0.25">
      <c r="A23" s="10"/>
      <c r="H23" s="18"/>
    </row>
    <row r="24" spans="1:10" x14ac:dyDescent="0.25">
      <c r="A24" s="10"/>
      <c r="B24" s="1" t="s">
        <v>5</v>
      </c>
    </row>
    <row r="25" spans="1:10" x14ac:dyDescent="0.25">
      <c r="A25" s="10"/>
      <c r="B25" s="1"/>
    </row>
    <row r="26" spans="1:10" x14ac:dyDescent="0.25">
      <c r="A26" s="10"/>
      <c r="B26" s="48" t="s">
        <v>20</v>
      </c>
      <c r="C26" s="38">
        <f>-C9+(C10*1000)/(1+C20)+(C11*1000)/(1+C20)^2+(C12*1000)/(1+C20)^3+(C13*1000)/(1+C20)^4+(C14*1000)/(1+C20)^5+(C15*1000)/(1+C20)^6+(C16*1000)/(1+C20)^7+(C17*1000)/(1+C20)^8+(C18*1000)/(1+C20)^9+(C19*1000)/(1+C20)^10</f>
        <v>23696.148483678</v>
      </c>
    </row>
    <row r="27" spans="1:10" x14ac:dyDescent="0.25">
      <c r="A27" s="10"/>
      <c r="E27" s="93"/>
      <c r="F27" s="93"/>
      <c r="G27" s="19"/>
    </row>
    <row r="28" spans="1:10" x14ac:dyDescent="0.25">
      <c r="A28" s="10"/>
      <c r="G28" s="19"/>
    </row>
    <row r="29" spans="1:10" x14ac:dyDescent="0.25">
      <c r="A29" s="10"/>
      <c r="E29" s="94"/>
      <c r="F29" s="94"/>
      <c r="G29" s="19"/>
    </row>
    <row r="30" spans="1:10" x14ac:dyDescent="0.25">
      <c r="A30" s="10"/>
      <c r="G30" s="19"/>
    </row>
    <row r="31" spans="1:10" x14ac:dyDescent="0.25">
      <c r="A31" s="10"/>
    </row>
    <row r="32" spans="1:10" x14ac:dyDescent="0.25">
      <c r="A32" s="10"/>
    </row>
    <row r="33" spans="1:10" x14ac:dyDescent="0.25">
      <c r="A33" s="10"/>
    </row>
    <row r="34" spans="1:10" x14ac:dyDescent="0.25">
      <c r="A34" s="10"/>
    </row>
    <row r="35" spans="1:10" x14ac:dyDescent="0.25">
      <c r="A35" s="10"/>
    </row>
    <row r="36" spans="1:10" x14ac:dyDescent="0.25">
      <c r="A36" s="10"/>
      <c r="B36" s="20"/>
      <c r="C36" s="21"/>
    </row>
    <row r="37" spans="1:10" x14ac:dyDescent="0.25">
      <c r="A37" s="13"/>
      <c r="B37" s="22"/>
      <c r="C37" s="23"/>
      <c r="D37" s="17"/>
      <c r="E37" s="17"/>
      <c r="F37" s="17"/>
      <c r="G37" s="17"/>
      <c r="H37" s="17"/>
      <c r="I37" s="17"/>
      <c r="J37" s="17"/>
    </row>
    <row r="38" spans="1:10" x14ac:dyDescent="0.25">
      <c r="A38" s="10"/>
      <c r="B38" s="20"/>
      <c r="C38" s="24"/>
    </row>
    <row r="39" spans="1:10" x14ac:dyDescent="0.25">
      <c r="A39" s="6"/>
      <c r="B39" s="25" t="s">
        <v>6</v>
      </c>
      <c r="C39" s="6"/>
      <c r="D39" s="6"/>
      <c r="E39" s="6"/>
      <c r="F39" s="6"/>
      <c r="G39" s="6"/>
      <c r="H39" s="6"/>
      <c r="I39" s="6"/>
      <c r="J39" s="6"/>
    </row>
  </sheetData>
  <mergeCells count="2">
    <mergeCell ref="E27:F27"/>
    <mergeCell ref="E29:F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13" sqref="C13"/>
    </sheetView>
  </sheetViews>
  <sheetFormatPr defaultRowHeight="15" x14ac:dyDescent="0.25"/>
  <cols>
    <col min="1" max="1" width="10" style="47" customWidth="1"/>
    <col min="2" max="2" width="38.140625" style="47" customWidth="1"/>
    <col min="3" max="3" width="11.85546875" style="47" bestFit="1" customWidth="1"/>
    <col min="4" max="16384" width="9.140625" style="47"/>
  </cols>
  <sheetData>
    <row r="1" spans="1:10" s="1" customFormat="1" x14ac:dyDescent="0.25">
      <c r="A1" s="1" t="s">
        <v>64</v>
      </c>
    </row>
    <row r="2" spans="1:10" ht="18.75" x14ac:dyDescent="0.3">
      <c r="A2" s="30" t="s">
        <v>107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47" t="s">
        <v>4</v>
      </c>
    </row>
    <row r="9" spans="1:10" x14ac:dyDescent="0.25">
      <c r="B9" s="48" t="s">
        <v>90</v>
      </c>
      <c r="C9" s="43">
        <v>400000</v>
      </c>
    </row>
    <row r="10" spans="1:10" x14ac:dyDescent="0.25">
      <c r="B10" s="48" t="s">
        <v>108</v>
      </c>
      <c r="C10" s="43">
        <v>100000</v>
      </c>
    </row>
    <row r="11" spans="1:10" x14ac:dyDescent="0.25">
      <c r="A11" s="8" t="s">
        <v>4</v>
      </c>
      <c r="B11" s="48" t="s">
        <v>109</v>
      </c>
      <c r="C11" s="43">
        <v>200000</v>
      </c>
    </row>
    <row r="12" spans="1:10" x14ac:dyDescent="0.25">
      <c r="A12" s="10"/>
      <c r="B12" s="48" t="s">
        <v>110</v>
      </c>
      <c r="C12" s="43">
        <v>300000</v>
      </c>
    </row>
    <row r="13" spans="1:10" x14ac:dyDescent="0.25">
      <c r="A13" s="10"/>
      <c r="B13" s="48" t="s">
        <v>111</v>
      </c>
      <c r="C13" s="44">
        <v>0.12</v>
      </c>
    </row>
    <row r="14" spans="1:10" x14ac:dyDescent="0.25">
      <c r="A14" s="10"/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B20"/>
      <c r="C20"/>
    </row>
    <row r="21" spans="1:10" x14ac:dyDescent="0.25">
      <c r="A21" s="10"/>
      <c r="B21" s="48" t="s">
        <v>113</v>
      </c>
      <c r="C21" s="85">
        <f>-C9</f>
        <v>-400000</v>
      </c>
    </row>
    <row r="22" spans="1:10" x14ac:dyDescent="0.25">
      <c r="A22" s="10"/>
      <c r="B22" s="48" t="s">
        <v>114</v>
      </c>
      <c r="C22" s="85">
        <f>C10/(1+C13)</f>
        <v>89285.714285714275</v>
      </c>
      <c r="E22" s="93"/>
      <c r="F22" s="93"/>
      <c r="G22" s="19"/>
    </row>
    <row r="23" spans="1:10" x14ac:dyDescent="0.25">
      <c r="A23" s="10"/>
      <c r="B23" s="48" t="s">
        <v>115</v>
      </c>
      <c r="C23" s="85">
        <f>C11/(1+C13)^2</f>
        <v>159438.77551020405</v>
      </c>
      <c r="G23" s="19"/>
    </row>
    <row r="24" spans="1:10" x14ac:dyDescent="0.25">
      <c r="A24" s="10"/>
      <c r="B24" s="48" t="s">
        <v>112</v>
      </c>
      <c r="C24" s="85">
        <f>C12/(1+C13)^3</f>
        <v>213534.07434402328</v>
      </c>
      <c r="E24" s="94"/>
      <c r="F24" s="94"/>
      <c r="G24" s="19"/>
    </row>
    <row r="25" spans="1:10" x14ac:dyDescent="0.25">
      <c r="A25" s="10"/>
      <c r="B25" s="48" t="s">
        <v>20</v>
      </c>
      <c r="C25" s="38">
        <f>SUM(C21:C24)</f>
        <v>62258.564139941591</v>
      </c>
      <c r="G25" s="19"/>
    </row>
    <row r="26" spans="1:10" x14ac:dyDescent="0.25">
      <c r="A26" s="10"/>
    </row>
    <row r="27" spans="1:10" x14ac:dyDescent="0.25">
      <c r="A27" s="10"/>
    </row>
    <row r="28" spans="1:10" x14ac:dyDescent="0.25">
      <c r="A28" s="10"/>
    </row>
    <row r="29" spans="1:10" x14ac:dyDescent="0.25">
      <c r="A29" s="10"/>
    </row>
    <row r="30" spans="1:10" x14ac:dyDescent="0.25">
      <c r="A30" s="10"/>
    </row>
    <row r="31" spans="1:10" x14ac:dyDescent="0.25">
      <c r="A31" s="10"/>
      <c r="B31" s="20"/>
      <c r="C31" s="21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</sheetData>
  <mergeCells count="2">
    <mergeCell ref="E22:F22"/>
    <mergeCell ref="E24:F2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4" workbookViewId="0">
      <selection activeCell="E29" sqref="E29"/>
    </sheetView>
  </sheetViews>
  <sheetFormatPr defaultRowHeight="15" x14ac:dyDescent="0.25"/>
  <cols>
    <col min="1" max="1" width="10" style="47" customWidth="1"/>
    <col min="2" max="2" width="38.140625" style="47" customWidth="1"/>
    <col min="3" max="3" width="14.5703125" style="47" bestFit="1" customWidth="1"/>
    <col min="4" max="16384" width="9.140625" style="47"/>
  </cols>
  <sheetData>
    <row r="1" spans="1:10" s="1" customFormat="1" x14ac:dyDescent="0.25">
      <c r="A1" s="1" t="s">
        <v>64</v>
      </c>
    </row>
    <row r="2" spans="1:10" ht="18.75" x14ac:dyDescent="0.3">
      <c r="A2" s="30" t="s">
        <v>116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47" t="s">
        <v>4</v>
      </c>
    </row>
    <row r="9" spans="1:10" x14ac:dyDescent="0.25">
      <c r="B9" s="47" t="s">
        <v>123</v>
      </c>
      <c r="C9" s="43">
        <v>8000000</v>
      </c>
    </row>
    <row r="10" spans="1:10" x14ac:dyDescent="0.25">
      <c r="A10" s="8" t="s">
        <v>4</v>
      </c>
      <c r="B10" s="47" t="s">
        <v>124</v>
      </c>
      <c r="C10" s="43">
        <v>5000000</v>
      </c>
    </row>
    <row r="11" spans="1:10" x14ac:dyDescent="0.25">
      <c r="A11" s="10"/>
      <c r="B11" s="47" t="s">
        <v>91</v>
      </c>
      <c r="C11" s="43">
        <v>4000000</v>
      </c>
    </row>
    <row r="12" spans="1:10" x14ac:dyDescent="0.25">
      <c r="A12" s="10"/>
      <c r="B12" s="47" t="s">
        <v>125</v>
      </c>
      <c r="C12" s="43">
        <v>2000000</v>
      </c>
    </row>
    <row r="13" spans="1:10" x14ac:dyDescent="0.25">
      <c r="A13" s="10"/>
      <c r="B13" s="47" t="s">
        <v>126</v>
      </c>
      <c r="C13" s="31">
        <v>5</v>
      </c>
    </row>
    <row r="14" spans="1:10" x14ac:dyDescent="0.25">
      <c r="A14" s="10"/>
      <c r="B14" s="47" t="s">
        <v>127</v>
      </c>
      <c r="C14" s="31">
        <v>10</v>
      </c>
    </row>
    <row r="15" spans="1:10" x14ac:dyDescent="0.25">
      <c r="A15" s="10"/>
      <c r="B15" s="7" t="s">
        <v>128</v>
      </c>
      <c r="C15" s="43">
        <v>1500000</v>
      </c>
      <c r="D15" s="12"/>
      <c r="E15" s="9"/>
    </row>
    <row r="16" spans="1:10" s="54" customFormat="1" x14ac:dyDescent="0.25">
      <c r="A16" s="10"/>
      <c r="B16" s="7" t="s">
        <v>9</v>
      </c>
      <c r="C16" s="87">
        <v>15</v>
      </c>
      <c r="D16" s="12"/>
      <c r="E16" s="9"/>
    </row>
    <row r="17" spans="1:10" s="54" customFormat="1" x14ac:dyDescent="0.25">
      <c r="A17" s="10"/>
      <c r="B17" s="7" t="s">
        <v>111</v>
      </c>
      <c r="C17" s="44">
        <v>0.08</v>
      </c>
      <c r="D17" s="12"/>
      <c r="E17" s="9"/>
    </row>
    <row r="18" spans="1:10" s="54" customFormat="1" x14ac:dyDescent="0.25">
      <c r="A18" s="10"/>
      <c r="B18" s="7"/>
      <c r="C18" s="11"/>
      <c r="D18" s="12"/>
      <c r="E18" s="9"/>
    </row>
    <row r="19" spans="1:10" x14ac:dyDescent="0.25">
      <c r="A19" s="13"/>
      <c r="B19" s="14"/>
      <c r="C19" s="15"/>
      <c r="D19" s="13"/>
      <c r="E19" s="16"/>
      <c r="F19" s="17"/>
      <c r="G19" s="17"/>
      <c r="H19" s="17"/>
      <c r="I19" s="17"/>
      <c r="J19" s="17"/>
    </row>
    <row r="20" spans="1:10" x14ac:dyDescent="0.25">
      <c r="A20" s="10"/>
      <c r="H20" s="18"/>
    </row>
    <row r="21" spans="1:10" x14ac:dyDescent="0.25">
      <c r="A21" s="10"/>
      <c r="B21" s="1" t="s">
        <v>5</v>
      </c>
    </row>
    <row r="22" spans="1:10" s="54" customFormat="1" x14ac:dyDescent="0.25">
      <c r="A22" s="10"/>
      <c r="B22" s="40" t="s">
        <v>59</v>
      </c>
      <c r="C22" s="36">
        <f>-C9</f>
        <v>-8000000</v>
      </c>
    </row>
    <row r="23" spans="1:10" x14ac:dyDescent="0.25">
      <c r="A23" s="10"/>
      <c r="B23" s="40" t="s">
        <v>129</v>
      </c>
      <c r="C23" s="36">
        <f>(C10-C11)*((1/C17)-(1/(C17*(1+C17)^C16)))</f>
        <v>8559478.6879263762</v>
      </c>
    </row>
    <row r="24" spans="1:10" x14ac:dyDescent="0.25">
      <c r="A24" s="10"/>
      <c r="B24" s="47" t="s">
        <v>130</v>
      </c>
      <c r="C24" s="36">
        <f>-C12/(1+C17)^C13-C12/(1+C17)^C14</f>
        <v>-2287553.3702368746</v>
      </c>
    </row>
    <row r="25" spans="1:10" x14ac:dyDescent="0.25">
      <c r="A25" s="10"/>
      <c r="B25" s="47" t="s">
        <v>131</v>
      </c>
      <c r="C25" s="36">
        <f>C15/(1+C17)^C16</f>
        <v>472862.55744883494</v>
      </c>
      <c r="E25" s="93"/>
      <c r="F25" s="93"/>
      <c r="G25" s="19"/>
    </row>
    <row r="26" spans="1:10" x14ac:dyDescent="0.25">
      <c r="A26" s="10"/>
      <c r="B26" s="47" t="s">
        <v>132</v>
      </c>
      <c r="C26" s="41">
        <f>SUM(C22:C25)</f>
        <v>-1255212.1248616634</v>
      </c>
      <c r="G26" s="19"/>
    </row>
    <row r="27" spans="1:10" x14ac:dyDescent="0.25">
      <c r="A27" s="10"/>
      <c r="E27" s="94"/>
      <c r="F27" s="94"/>
      <c r="G27" s="19"/>
    </row>
    <row r="28" spans="1:10" x14ac:dyDescent="0.25">
      <c r="A28" s="10"/>
      <c r="G28" s="19"/>
    </row>
    <row r="29" spans="1:10" x14ac:dyDescent="0.25">
      <c r="A29" s="10"/>
    </row>
    <row r="30" spans="1:10" x14ac:dyDescent="0.25">
      <c r="A30" s="10"/>
    </row>
    <row r="31" spans="1:10" x14ac:dyDescent="0.25">
      <c r="A31" s="10"/>
    </row>
    <row r="32" spans="1:10" x14ac:dyDescent="0.25">
      <c r="A32" s="10"/>
    </row>
    <row r="33" spans="1:10" x14ac:dyDescent="0.25">
      <c r="A33" s="10"/>
    </row>
    <row r="34" spans="1:10" x14ac:dyDescent="0.25">
      <c r="A34" s="10"/>
      <c r="B34" s="20"/>
      <c r="C34" s="21"/>
    </row>
    <row r="35" spans="1:10" x14ac:dyDescent="0.25">
      <c r="A35" s="13"/>
      <c r="B35" s="22"/>
      <c r="C35" s="23"/>
      <c r="D35" s="17"/>
      <c r="E35" s="17"/>
      <c r="F35" s="17"/>
      <c r="G35" s="17"/>
      <c r="H35" s="17"/>
      <c r="I35" s="17"/>
      <c r="J35" s="17"/>
    </row>
    <row r="36" spans="1:10" x14ac:dyDescent="0.25">
      <c r="A36" s="10"/>
      <c r="B36" s="20"/>
      <c r="C36" s="24"/>
    </row>
    <row r="37" spans="1:10" x14ac:dyDescent="0.25">
      <c r="A37" s="6"/>
      <c r="B37" s="25" t="s">
        <v>6</v>
      </c>
      <c r="C37" s="6"/>
      <c r="D37" s="6"/>
      <c r="E37" s="6"/>
      <c r="F37" s="6"/>
      <c r="G37" s="6"/>
      <c r="H37" s="6"/>
      <c r="I37" s="6"/>
      <c r="J37" s="6"/>
    </row>
  </sheetData>
  <mergeCells count="2">
    <mergeCell ref="E25:F25"/>
    <mergeCell ref="E27:F2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7" workbookViewId="0">
      <selection activeCell="C37" sqref="C37"/>
    </sheetView>
  </sheetViews>
  <sheetFormatPr defaultRowHeight="15" x14ac:dyDescent="0.25"/>
  <cols>
    <col min="1" max="1" width="10" style="47" customWidth="1"/>
    <col min="2" max="2" width="38.140625" style="47" customWidth="1"/>
    <col min="3" max="3" width="11.140625" style="47" bestFit="1" customWidth="1"/>
    <col min="4" max="16384" width="9.140625" style="47"/>
  </cols>
  <sheetData>
    <row r="1" spans="1:10" s="1" customFormat="1" x14ac:dyDescent="0.25">
      <c r="A1" s="1" t="s">
        <v>64</v>
      </c>
    </row>
    <row r="2" spans="1:10" ht="18.75" x14ac:dyDescent="0.3">
      <c r="A2" s="30" t="s">
        <v>133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47" t="s">
        <v>4</v>
      </c>
    </row>
    <row r="9" spans="1:10" x14ac:dyDescent="0.25">
      <c r="B9" s="40" t="s">
        <v>134</v>
      </c>
      <c r="C9" s="43">
        <v>100000</v>
      </c>
    </row>
    <row r="10" spans="1:10" x14ac:dyDescent="0.25">
      <c r="B10" s="47" t="s">
        <v>135</v>
      </c>
      <c r="C10" s="43">
        <v>180000</v>
      </c>
    </row>
    <row r="11" spans="1:10" x14ac:dyDescent="0.25">
      <c r="A11" s="8" t="s">
        <v>4</v>
      </c>
      <c r="B11" s="47" t="s">
        <v>55</v>
      </c>
      <c r="C11" s="45">
        <v>5</v>
      </c>
    </row>
    <row r="12" spans="1:10" x14ac:dyDescent="0.25">
      <c r="A12" s="10"/>
      <c r="B12" s="47" t="s">
        <v>136</v>
      </c>
      <c r="C12" s="43">
        <v>11400</v>
      </c>
    </row>
    <row r="13" spans="1:10" x14ac:dyDescent="0.25">
      <c r="A13" s="10"/>
      <c r="B13" s="47" t="s">
        <v>137</v>
      </c>
      <c r="C13" s="43">
        <v>19000</v>
      </c>
    </row>
    <row r="14" spans="1:10" x14ac:dyDescent="0.25">
      <c r="A14" s="10"/>
      <c r="B14" s="47" t="s">
        <v>86</v>
      </c>
      <c r="C14" s="45">
        <v>10</v>
      </c>
    </row>
    <row r="15" spans="1:10" s="54" customFormat="1" x14ac:dyDescent="0.25">
      <c r="A15" s="10"/>
      <c r="B15" s="54" t="s">
        <v>138</v>
      </c>
      <c r="C15" s="43">
        <v>6500</v>
      </c>
    </row>
    <row r="16" spans="1:10" s="54" customFormat="1" x14ac:dyDescent="0.25">
      <c r="A16" s="10"/>
      <c r="B16" s="54" t="s">
        <v>139</v>
      </c>
      <c r="C16" s="44">
        <v>0.05</v>
      </c>
    </row>
    <row r="17" spans="1:10" x14ac:dyDescent="0.25">
      <c r="A17" s="10"/>
      <c r="B17" s="47" t="s">
        <v>8</v>
      </c>
      <c r="C17" s="44">
        <v>0.12</v>
      </c>
    </row>
    <row r="18" spans="1:10" x14ac:dyDescent="0.25">
      <c r="A18" s="10"/>
      <c r="B18" s="7"/>
      <c r="C18" s="11"/>
      <c r="D18" s="12"/>
      <c r="E18" s="9"/>
    </row>
    <row r="19" spans="1:10" x14ac:dyDescent="0.25">
      <c r="A19" s="13"/>
      <c r="B19" s="14"/>
      <c r="C19" s="15"/>
      <c r="D19" s="13"/>
      <c r="E19" s="16"/>
      <c r="F19" s="17"/>
      <c r="G19" s="17"/>
      <c r="H19" s="17"/>
      <c r="I19" s="17"/>
      <c r="J19" s="17"/>
    </row>
    <row r="20" spans="1:10" x14ac:dyDescent="0.25">
      <c r="A20" s="10"/>
      <c r="H20" s="18"/>
    </row>
    <row r="21" spans="1:10" x14ac:dyDescent="0.25">
      <c r="A21" s="10"/>
      <c r="B21" s="1" t="s">
        <v>5</v>
      </c>
    </row>
    <row r="22" spans="1:10" x14ac:dyDescent="0.25">
      <c r="A22" s="10"/>
      <c r="B22" s="1" t="s">
        <v>140</v>
      </c>
    </row>
    <row r="23" spans="1:10" x14ac:dyDescent="0.25">
      <c r="A23" s="10"/>
      <c r="B23" s="47" t="s">
        <v>40</v>
      </c>
      <c r="C23" s="35">
        <f>C9</f>
        <v>100000</v>
      </c>
      <c r="D23" s="47" t="s">
        <v>143</v>
      </c>
    </row>
    <row r="24" spans="1:10" x14ac:dyDescent="0.25">
      <c r="A24" s="10"/>
      <c r="C24" s="35"/>
      <c r="E24" s="93"/>
      <c r="F24" s="93"/>
      <c r="G24" s="19"/>
    </row>
    <row r="25" spans="1:10" x14ac:dyDescent="0.25">
      <c r="A25" s="10"/>
      <c r="B25" s="1" t="s">
        <v>141</v>
      </c>
      <c r="C25" s="35"/>
      <c r="G25" s="19"/>
    </row>
    <row r="26" spans="1:10" x14ac:dyDescent="0.25">
      <c r="A26" s="10"/>
      <c r="B26" s="40" t="s">
        <v>40</v>
      </c>
      <c r="C26" s="35">
        <f>C10/(1+C17)^C11</f>
        <v>102136.83402934785</v>
      </c>
      <c r="D26" s="47" t="s">
        <v>144</v>
      </c>
      <c r="E26" s="94"/>
      <c r="F26" s="94"/>
      <c r="G26" s="19"/>
    </row>
    <row r="27" spans="1:10" x14ac:dyDescent="0.25">
      <c r="A27" s="10"/>
      <c r="C27" s="35"/>
      <c r="G27" s="19"/>
    </row>
    <row r="28" spans="1:10" x14ac:dyDescent="0.25">
      <c r="A28" s="10"/>
      <c r="B28" s="1" t="s">
        <v>39</v>
      </c>
      <c r="C28" s="35"/>
    </row>
    <row r="29" spans="1:10" x14ac:dyDescent="0.25">
      <c r="A29" s="10"/>
      <c r="B29" s="47" t="s">
        <v>40</v>
      </c>
      <c r="C29" s="35">
        <f>C12/C17</f>
        <v>95000</v>
      </c>
      <c r="D29" s="47" t="s">
        <v>145</v>
      </c>
      <c r="H29" s="47" t="s">
        <v>4</v>
      </c>
    </row>
    <row r="30" spans="1:10" x14ac:dyDescent="0.25">
      <c r="A30" s="10"/>
      <c r="C30" s="35"/>
    </row>
    <row r="31" spans="1:10" x14ac:dyDescent="0.25">
      <c r="A31" s="10"/>
      <c r="B31" s="1" t="s">
        <v>41</v>
      </c>
      <c r="C31" s="35"/>
    </row>
    <row r="32" spans="1:10" x14ac:dyDescent="0.25">
      <c r="A32" s="10"/>
      <c r="B32" s="47" t="s">
        <v>40</v>
      </c>
      <c r="C32" s="35">
        <f>C13*((1/C17)-(1/(C17*(1+C17)^C14)))</f>
        <v>107354.23753980648</v>
      </c>
      <c r="D32" s="47" t="s">
        <v>146</v>
      </c>
    </row>
    <row r="33" spans="1:10" s="54" customFormat="1" x14ac:dyDescent="0.25">
      <c r="A33" s="10"/>
      <c r="C33" s="35"/>
    </row>
    <row r="34" spans="1:10" s="54" customFormat="1" x14ac:dyDescent="0.25">
      <c r="A34" s="10"/>
      <c r="B34" s="1" t="s">
        <v>120</v>
      </c>
      <c r="C34" s="35"/>
    </row>
    <row r="35" spans="1:10" s="54" customFormat="1" x14ac:dyDescent="0.25">
      <c r="A35" s="10"/>
      <c r="B35" s="40" t="s">
        <v>40</v>
      </c>
      <c r="C35" s="35">
        <f>C15/(C17-C16)</f>
        <v>92857.14285714287</v>
      </c>
      <c r="D35" s="54" t="s">
        <v>147</v>
      </c>
    </row>
    <row r="36" spans="1:10" s="54" customFormat="1" x14ac:dyDescent="0.25">
      <c r="A36" s="10"/>
      <c r="B36" s="1"/>
    </row>
    <row r="37" spans="1:10" s="54" customFormat="1" x14ac:dyDescent="0.25">
      <c r="A37" s="10"/>
      <c r="B37" s="40" t="s">
        <v>142</v>
      </c>
      <c r="C37" s="21" t="str">
        <f>IF(C23=MAX(C23:C35),D23,"")&amp;IF(C26=MAX(C23:C35),D26,"")&amp;IF(C29=MAX(C23:C35),D29,"")&amp;IF(C32=MAX(C23:C35),D32,"")&amp;IF(C35=MAX(C23:C35),D35,"")</f>
        <v>Prize D</v>
      </c>
    </row>
    <row r="38" spans="1:10" x14ac:dyDescent="0.25">
      <c r="A38" s="10"/>
      <c r="B38" s="20"/>
      <c r="C38" s="21"/>
    </row>
    <row r="39" spans="1:10" x14ac:dyDescent="0.25">
      <c r="A39" s="13"/>
      <c r="B39" s="22"/>
      <c r="C39" s="23"/>
      <c r="D39" s="17"/>
      <c r="E39" s="17"/>
      <c r="F39" s="17"/>
      <c r="G39" s="17"/>
      <c r="H39" s="17"/>
      <c r="I39" s="17"/>
      <c r="J39" s="17"/>
    </row>
    <row r="40" spans="1:10" x14ac:dyDescent="0.25">
      <c r="A40" s="10"/>
      <c r="B40" s="20"/>
      <c r="C40" s="24"/>
      <c r="D40" s="47" t="s">
        <v>4</v>
      </c>
    </row>
    <row r="41" spans="1:10" x14ac:dyDescent="0.25">
      <c r="A41" s="6"/>
      <c r="B41" s="25" t="s">
        <v>6</v>
      </c>
      <c r="C41" s="6"/>
      <c r="D41" s="6"/>
      <c r="E41" s="6"/>
      <c r="F41" s="6"/>
      <c r="G41" s="6"/>
      <c r="H41" s="6"/>
      <c r="I41" s="6"/>
      <c r="J41" s="6"/>
    </row>
  </sheetData>
  <mergeCells count="2">
    <mergeCell ref="E24:F24"/>
    <mergeCell ref="E26:F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2" workbookViewId="0">
      <selection activeCell="H32" sqref="G31:H32"/>
    </sheetView>
  </sheetViews>
  <sheetFormatPr defaultRowHeight="15" x14ac:dyDescent="0.25"/>
  <cols>
    <col min="1" max="1" width="10" style="47" customWidth="1"/>
    <col min="2" max="2" width="38.140625" style="47" customWidth="1"/>
    <col min="3" max="3" width="10.140625" style="47" bestFit="1" customWidth="1"/>
    <col min="4" max="16384" width="9.140625" style="47"/>
  </cols>
  <sheetData>
    <row r="1" spans="1:10" s="1" customFormat="1" x14ac:dyDescent="0.25">
      <c r="A1" s="1" t="s">
        <v>64</v>
      </c>
    </row>
    <row r="2" spans="1:10" ht="18.75" x14ac:dyDescent="0.3">
      <c r="A2" s="30" t="s">
        <v>148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47" t="s">
        <v>4</v>
      </c>
    </row>
    <row r="9" spans="1:10" x14ac:dyDescent="0.25">
      <c r="B9" s="40" t="s">
        <v>149</v>
      </c>
      <c r="C9" s="45">
        <v>12</v>
      </c>
    </row>
    <row r="10" spans="1:10" x14ac:dyDescent="0.25">
      <c r="B10" s="47" t="s">
        <v>151</v>
      </c>
      <c r="C10" s="43">
        <v>20000</v>
      </c>
    </row>
    <row r="11" spans="1:10" x14ac:dyDescent="0.25">
      <c r="A11" s="8" t="s">
        <v>4</v>
      </c>
      <c r="B11" s="47" t="s">
        <v>8</v>
      </c>
      <c r="C11" s="44">
        <v>0.08</v>
      </c>
    </row>
    <row r="12" spans="1:10" x14ac:dyDescent="0.25">
      <c r="A12" s="10"/>
    </row>
    <row r="13" spans="1:10" x14ac:dyDescent="0.25">
      <c r="A13" s="10"/>
    </row>
    <row r="14" spans="1:10" x14ac:dyDescent="0.25">
      <c r="A14" s="10"/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</row>
    <row r="21" spans="1:10" x14ac:dyDescent="0.25">
      <c r="A21" s="10"/>
      <c r="B21" s="40" t="s">
        <v>150</v>
      </c>
      <c r="C21" s="38">
        <f>C10/((1/C11)-(1/(C11*(1+C11)^C9)))</f>
        <v>2653.9003384893904</v>
      </c>
    </row>
    <row r="22" spans="1:10" x14ac:dyDescent="0.25">
      <c r="A22" s="10"/>
      <c r="E22" s="93"/>
      <c r="F22" s="93"/>
      <c r="G22" s="19"/>
    </row>
    <row r="23" spans="1:10" x14ac:dyDescent="0.25">
      <c r="A23" s="10"/>
      <c r="G23" s="19"/>
    </row>
    <row r="24" spans="1:10" x14ac:dyDescent="0.25">
      <c r="A24" s="10"/>
      <c r="E24" s="94"/>
      <c r="F24" s="94"/>
      <c r="G24" s="19"/>
    </row>
    <row r="25" spans="1:10" x14ac:dyDescent="0.25">
      <c r="A25" s="10"/>
      <c r="G25" s="19"/>
    </row>
    <row r="26" spans="1:10" x14ac:dyDescent="0.25">
      <c r="A26" s="10"/>
    </row>
    <row r="27" spans="1:10" x14ac:dyDescent="0.25">
      <c r="A27" s="10"/>
    </row>
    <row r="28" spans="1:10" x14ac:dyDescent="0.25">
      <c r="A28" s="10"/>
    </row>
    <row r="29" spans="1:10" x14ac:dyDescent="0.25">
      <c r="A29" s="10"/>
    </row>
    <row r="30" spans="1:10" x14ac:dyDescent="0.25">
      <c r="A30" s="10"/>
    </row>
    <row r="31" spans="1:10" x14ac:dyDescent="0.25">
      <c r="A31" s="10"/>
      <c r="B31" s="20"/>
      <c r="C31" s="21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</sheetData>
  <mergeCells count="2">
    <mergeCell ref="E22:F22"/>
    <mergeCell ref="E24:F2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13" sqref="C13"/>
    </sheetView>
  </sheetViews>
  <sheetFormatPr defaultRowHeight="15" x14ac:dyDescent="0.25"/>
  <cols>
    <col min="1" max="1" width="10" style="47" customWidth="1"/>
    <col min="2" max="2" width="38.140625" style="47" customWidth="1"/>
    <col min="3" max="3" width="10.140625" style="47" bestFit="1" customWidth="1"/>
    <col min="4" max="16384" width="9.140625" style="47"/>
  </cols>
  <sheetData>
    <row r="1" spans="1:10" s="1" customFormat="1" x14ac:dyDescent="0.25">
      <c r="A1" s="1" t="s">
        <v>64</v>
      </c>
    </row>
    <row r="2" spans="1:10" ht="18.75" x14ac:dyDescent="0.3">
      <c r="A2" s="30" t="s">
        <v>152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47" t="s">
        <v>4</v>
      </c>
    </row>
    <row r="9" spans="1:10" x14ac:dyDescent="0.25">
      <c r="B9" s="40" t="s">
        <v>9</v>
      </c>
      <c r="C9" s="45">
        <v>5</v>
      </c>
    </row>
    <row r="10" spans="1:10" x14ac:dyDescent="0.25">
      <c r="B10" s="47" t="s">
        <v>168</v>
      </c>
      <c r="C10" s="43">
        <v>20000</v>
      </c>
    </row>
    <row r="11" spans="1:10" x14ac:dyDescent="0.25">
      <c r="A11" s="8" t="s">
        <v>4</v>
      </c>
      <c r="B11" s="47" t="s">
        <v>8</v>
      </c>
      <c r="C11" s="44">
        <v>0.1</v>
      </c>
    </row>
    <row r="12" spans="1:10" x14ac:dyDescent="0.25">
      <c r="A12" s="10"/>
      <c r="B12" s="47" t="s">
        <v>169</v>
      </c>
      <c r="C12" s="45">
        <v>5</v>
      </c>
    </row>
    <row r="13" spans="1:10" x14ac:dyDescent="0.25">
      <c r="A13" s="10"/>
    </row>
    <row r="14" spans="1:10" x14ac:dyDescent="0.25">
      <c r="A14" s="10"/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B20" s="1"/>
    </row>
    <row r="21" spans="1:10" x14ac:dyDescent="0.25">
      <c r="A21" s="10"/>
      <c r="B21" s="47" t="s">
        <v>170</v>
      </c>
      <c r="C21" s="35">
        <f>C10/(1+C11)^C9</f>
        <v>12418.426461183099</v>
      </c>
    </row>
    <row r="22" spans="1:10" x14ac:dyDescent="0.25">
      <c r="A22" s="10"/>
      <c r="B22" s="47" t="s">
        <v>171</v>
      </c>
      <c r="C22" s="38">
        <f>C21/((1/C11)-(1/(C11*(1+C11)^C12)))</f>
        <v>3275.9496158949041</v>
      </c>
      <c r="E22" s="93"/>
      <c r="F22" s="93"/>
      <c r="G22" s="19"/>
    </row>
    <row r="23" spans="1:10" x14ac:dyDescent="0.25">
      <c r="A23" s="10"/>
      <c r="G23" s="19"/>
    </row>
    <row r="24" spans="1:10" x14ac:dyDescent="0.25">
      <c r="A24" s="10"/>
      <c r="E24" s="94"/>
      <c r="F24" s="94"/>
      <c r="G24" s="19"/>
    </row>
    <row r="25" spans="1:10" x14ac:dyDescent="0.25">
      <c r="A25" s="10"/>
      <c r="G25" s="19"/>
    </row>
    <row r="26" spans="1:10" x14ac:dyDescent="0.25">
      <c r="A26" s="10"/>
    </row>
    <row r="27" spans="1:10" x14ac:dyDescent="0.25">
      <c r="A27" s="10"/>
    </row>
    <row r="28" spans="1:10" x14ac:dyDescent="0.25">
      <c r="A28" s="10"/>
    </row>
    <row r="29" spans="1:10" x14ac:dyDescent="0.25">
      <c r="A29" s="10"/>
    </row>
    <row r="30" spans="1:10" x14ac:dyDescent="0.25">
      <c r="A30" s="10"/>
    </row>
    <row r="31" spans="1:10" x14ac:dyDescent="0.25">
      <c r="A31" s="10"/>
      <c r="B31" s="20"/>
      <c r="C31" s="21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</sheetData>
  <mergeCells count="2">
    <mergeCell ref="E22:F22"/>
    <mergeCell ref="E24:F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C11" sqref="C11"/>
    </sheetView>
  </sheetViews>
  <sheetFormatPr defaultRowHeight="15" x14ac:dyDescent="0.25"/>
  <cols>
    <col min="1" max="1" width="10.85546875" customWidth="1"/>
    <col min="2" max="2" width="28.140625" customWidth="1"/>
    <col min="8" max="8" width="10" customWidth="1"/>
    <col min="10" max="10" width="11" customWidth="1"/>
  </cols>
  <sheetData>
    <row r="1" spans="1:10" s="1" customFormat="1" x14ac:dyDescent="0.25">
      <c r="A1" s="1" t="s">
        <v>64</v>
      </c>
    </row>
    <row r="2" spans="1:10" ht="18.75" x14ac:dyDescent="0.3">
      <c r="A2" s="30" t="s">
        <v>73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s="6" customFormat="1" x14ac:dyDescent="0.25">
      <c r="A6" s="5"/>
      <c r="B6" s="5" t="s">
        <v>2</v>
      </c>
      <c r="C6" s="5"/>
      <c r="D6" s="5"/>
      <c r="E6" s="5"/>
      <c r="F6" s="5"/>
      <c r="G6" s="5"/>
      <c r="H6" s="5"/>
    </row>
    <row r="8" spans="1:10" x14ac:dyDescent="0.25">
      <c r="B8" s="1" t="s">
        <v>3</v>
      </c>
      <c r="C8" t="s">
        <v>4</v>
      </c>
    </row>
    <row r="9" spans="1:10" x14ac:dyDescent="0.25">
      <c r="B9" s="33" t="s">
        <v>11</v>
      </c>
      <c r="C9" s="43">
        <v>139</v>
      </c>
    </row>
    <row r="10" spans="1:10" x14ac:dyDescent="0.25">
      <c r="B10" s="33" t="s">
        <v>12</v>
      </c>
      <c r="C10" s="43">
        <v>125</v>
      </c>
    </row>
    <row r="11" spans="1:10" x14ac:dyDescent="0.25">
      <c r="A11" s="8" t="s">
        <v>4</v>
      </c>
    </row>
    <row r="12" spans="1:10" x14ac:dyDescent="0.25">
      <c r="A12" s="10"/>
    </row>
    <row r="13" spans="1:10" x14ac:dyDescent="0.25">
      <c r="A13" s="10"/>
    </row>
    <row r="14" spans="1:10" x14ac:dyDescent="0.25">
      <c r="A14" s="10"/>
    </row>
    <row r="15" spans="1:10" x14ac:dyDescent="0.25">
      <c r="A15" s="10"/>
    </row>
    <row r="16" spans="1:10" ht="17.25" customHeight="1" x14ac:dyDescent="0.25">
      <c r="A16" s="10"/>
      <c r="B16" s="7"/>
      <c r="C16" s="11"/>
      <c r="D16" s="12"/>
      <c r="E16" s="9"/>
    </row>
    <row r="17" spans="1:8" s="17" customFormat="1" x14ac:dyDescent="0.25">
      <c r="A17" s="13"/>
      <c r="B17" s="14"/>
      <c r="C17" s="15"/>
      <c r="D17" s="13"/>
      <c r="E17" s="16"/>
    </row>
    <row r="18" spans="1:8" x14ac:dyDescent="0.25">
      <c r="A18" s="10"/>
      <c r="H18" s="18"/>
    </row>
    <row r="19" spans="1:8" x14ac:dyDescent="0.25">
      <c r="A19" s="10"/>
      <c r="B19" s="1" t="s">
        <v>5</v>
      </c>
    </row>
    <row r="20" spans="1:8" x14ac:dyDescent="0.25">
      <c r="A20" s="10"/>
      <c r="B20" s="33" t="s">
        <v>13</v>
      </c>
      <c r="C20" s="39">
        <f>C10/C9</f>
        <v>0.89928057553956831</v>
      </c>
    </row>
    <row r="21" spans="1:8" x14ac:dyDescent="0.25">
      <c r="A21" s="10"/>
    </row>
    <row r="22" spans="1:8" x14ac:dyDescent="0.25">
      <c r="A22" s="10"/>
      <c r="E22" s="93"/>
      <c r="F22" s="93"/>
      <c r="G22" s="19"/>
    </row>
    <row r="23" spans="1:8" x14ac:dyDescent="0.25">
      <c r="A23" s="10"/>
      <c r="G23" s="19"/>
    </row>
    <row r="24" spans="1:8" x14ac:dyDescent="0.25">
      <c r="A24" s="10"/>
      <c r="E24" s="94"/>
      <c r="F24" s="94"/>
      <c r="G24" s="19"/>
    </row>
    <row r="25" spans="1:8" x14ac:dyDescent="0.25">
      <c r="A25" s="10"/>
      <c r="G25" s="19"/>
    </row>
    <row r="26" spans="1:8" ht="15" customHeight="1" x14ac:dyDescent="0.25">
      <c r="A26" s="10"/>
    </row>
    <row r="27" spans="1:8" hidden="1" x14ac:dyDescent="0.25">
      <c r="A27" s="10"/>
    </row>
    <row r="28" spans="1:8" x14ac:dyDescent="0.25">
      <c r="A28" s="10"/>
    </row>
    <row r="29" spans="1:8" x14ac:dyDescent="0.25">
      <c r="A29" s="10"/>
    </row>
    <row r="30" spans="1:8" x14ac:dyDescent="0.25">
      <c r="A30" s="10"/>
    </row>
    <row r="31" spans="1:8" x14ac:dyDescent="0.25">
      <c r="A31" s="10"/>
      <c r="B31" s="20"/>
      <c r="C31" s="21"/>
    </row>
    <row r="32" spans="1:8" s="17" customFormat="1" x14ac:dyDescent="0.25">
      <c r="A32" s="13"/>
      <c r="B32" s="22"/>
      <c r="C32" s="23"/>
    </row>
    <row r="33" spans="1:8" x14ac:dyDescent="0.25">
      <c r="A33" s="10"/>
      <c r="B33" s="20"/>
      <c r="C33" s="24"/>
    </row>
    <row r="34" spans="1:8" s="6" customFormat="1" x14ac:dyDescent="0.25">
      <c r="B34" s="25" t="s">
        <v>6</v>
      </c>
    </row>
    <row r="35" spans="1:8" s="6" customFormat="1" x14ac:dyDescent="0.25">
      <c r="B35"/>
      <c r="C35"/>
      <c r="D35"/>
      <c r="E35"/>
      <c r="F35"/>
    </row>
    <row r="36" spans="1:8" ht="31.5" customHeight="1" x14ac:dyDescent="0.25">
      <c r="A36" s="26"/>
      <c r="G36" s="26"/>
      <c r="H36" s="26"/>
    </row>
    <row r="37" spans="1:8" ht="31.5" customHeight="1" x14ac:dyDescent="0.25">
      <c r="A37" s="26"/>
      <c r="B37" s="27"/>
      <c r="C37" s="28"/>
      <c r="D37" s="6"/>
      <c r="E37" s="26"/>
      <c r="F37" s="29"/>
      <c r="G37" s="26"/>
      <c r="H37" s="26"/>
    </row>
  </sheetData>
  <mergeCells count="2">
    <mergeCell ref="E22:F22"/>
    <mergeCell ref="E24:F2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15" sqref="C15"/>
    </sheetView>
  </sheetViews>
  <sheetFormatPr defaultRowHeight="15" x14ac:dyDescent="0.25"/>
  <cols>
    <col min="1" max="1" width="10" style="54" customWidth="1"/>
    <col min="2" max="2" width="38.140625" style="54" customWidth="1"/>
    <col min="3" max="3" width="15.42578125" style="54" customWidth="1"/>
    <col min="4" max="16384" width="9.140625" style="54"/>
  </cols>
  <sheetData>
    <row r="1" spans="1:10" s="1" customFormat="1" x14ac:dyDescent="0.25">
      <c r="A1" s="1" t="s">
        <v>64</v>
      </c>
    </row>
    <row r="2" spans="1:10" ht="18.75" x14ac:dyDescent="0.3">
      <c r="A2" s="30" t="s">
        <v>153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54" t="s">
        <v>4</v>
      </c>
    </row>
    <row r="9" spans="1:10" x14ac:dyDescent="0.25">
      <c r="B9" s="40" t="s">
        <v>172</v>
      </c>
      <c r="C9" s="43">
        <v>10000</v>
      </c>
    </row>
    <row r="10" spans="1:10" x14ac:dyDescent="0.25">
      <c r="B10" s="54" t="s">
        <v>173</v>
      </c>
      <c r="C10" s="43">
        <v>1000</v>
      </c>
    </row>
    <row r="11" spans="1:10" x14ac:dyDescent="0.25">
      <c r="A11" s="8" t="s">
        <v>4</v>
      </c>
      <c r="B11" s="54" t="s">
        <v>174</v>
      </c>
      <c r="C11" s="43">
        <v>300</v>
      </c>
    </row>
    <row r="12" spans="1:10" x14ac:dyDescent="0.25">
      <c r="A12" s="10"/>
      <c r="B12" s="54" t="s">
        <v>175</v>
      </c>
      <c r="C12" s="31">
        <v>30</v>
      </c>
    </row>
    <row r="13" spans="1:10" x14ac:dyDescent="0.25">
      <c r="A13" s="10"/>
      <c r="B13" s="54" t="s">
        <v>176</v>
      </c>
      <c r="C13" s="43">
        <v>1000</v>
      </c>
    </row>
    <row r="14" spans="1:10" x14ac:dyDescent="0.25">
      <c r="A14" s="10"/>
      <c r="B14" s="54" t="s">
        <v>177</v>
      </c>
      <c r="C14" s="62">
        <v>8.3000000000000001E-3</v>
      </c>
    </row>
    <row r="15" spans="1:10" x14ac:dyDescent="0.25">
      <c r="A15" s="10"/>
      <c r="C15" s="43" t="s">
        <v>4</v>
      </c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B20" s="1"/>
    </row>
    <row r="21" spans="1:10" x14ac:dyDescent="0.25">
      <c r="A21" s="10"/>
      <c r="B21" s="54" t="s">
        <v>178</v>
      </c>
      <c r="C21" s="85">
        <f>C10+(C11*((1/C14)-(1/(C14*(1+C14)^C12))))</f>
        <v>8938.0168369802559</v>
      </c>
    </row>
    <row r="22" spans="1:10" x14ac:dyDescent="0.25">
      <c r="A22" s="10"/>
      <c r="B22" s="54" t="s">
        <v>179</v>
      </c>
      <c r="C22" s="36">
        <f>C9-C13</f>
        <v>9000</v>
      </c>
      <c r="E22" s="93"/>
      <c r="F22" s="93"/>
      <c r="G22" s="19"/>
    </row>
    <row r="23" spans="1:10" x14ac:dyDescent="0.25">
      <c r="A23" s="10"/>
      <c r="B23" s="54" t="s">
        <v>180</v>
      </c>
      <c r="C23" s="21" t="str">
        <f>IF(C21&lt;C22,"Kangaroo Autos","Turtle Motors")</f>
        <v>Kangaroo Autos</v>
      </c>
      <c r="G23" s="19"/>
    </row>
    <row r="24" spans="1:10" x14ac:dyDescent="0.25">
      <c r="A24" s="10"/>
      <c r="E24" s="94"/>
      <c r="F24" s="94"/>
      <c r="G24" s="19"/>
    </row>
    <row r="25" spans="1:10" x14ac:dyDescent="0.25">
      <c r="A25" s="10"/>
      <c r="G25" s="19"/>
    </row>
    <row r="26" spans="1:10" x14ac:dyDescent="0.25">
      <c r="A26" s="10"/>
    </row>
    <row r="27" spans="1:10" x14ac:dyDescent="0.25">
      <c r="A27" s="10"/>
    </row>
    <row r="28" spans="1:10" x14ac:dyDescent="0.25">
      <c r="A28" s="10"/>
    </row>
    <row r="29" spans="1:10" x14ac:dyDescent="0.25">
      <c r="A29" s="10"/>
    </row>
    <row r="30" spans="1:10" x14ac:dyDescent="0.25">
      <c r="A30" s="10"/>
    </row>
    <row r="31" spans="1:10" x14ac:dyDescent="0.25">
      <c r="A31" s="10"/>
      <c r="B31" s="20"/>
      <c r="C31" s="21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</sheetData>
  <mergeCells count="2">
    <mergeCell ref="E22:F22"/>
    <mergeCell ref="E24:F2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24" sqref="C24"/>
    </sheetView>
  </sheetViews>
  <sheetFormatPr defaultRowHeight="15" x14ac:dyDescent="0.25"/>
  <cols>
    <col min="1" max="1" width="10" style="54" customWidth="1"/>
    <col min="2" max="2" width="38.140625" style="54" customWidth="1"/>
    <col min="3" max="3" width="12.7109375" style="54" bestFit="1" customWidth="1"/>
    <col min="4" max="16384" width="9.140625" style="54"/>
  </cols>
  <sheetData>
    <row r="1" spans="1:10" s="1" customFormat="1" x14ac:dyDescent="0.25">
      <c r="A1" s="1" t="s">
        <v>64</v>
      </c>
    </row>
    <row r="2" spans="1:10" ht="18.75" x14ac:dyDescent="0.3">
      <c r="A2" s="30" t="s">
        <v>272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54" t="s">
        <v>4</v>
      </c>
    </row>
    <row r="9" spans="1:10" x14ac:dyDescent="0.25">
      <c r="B9" s="40" t="s">
        <v>181</v>
      </c>
      <c r="C9" s="43">
        <v>-700000</v>
      </c>
      <c r="D9" s="54" t="s">
        <v>25</v>
      </c>
    </row>
    <row r="10" spans="1:10" x14ac:dyDescent="0.25">
      <c r="B10" s="54" t="s">
        <v>183</v>
      </c>
      <c r="C10" s="43">
        <v>30000</v>
      </c>
    </row>
    <row r="11" spans="1:10" x14ac:dyDescent="0.25">
      <c r="A11" s="8" t="s">
        <v>4</v>
      </c>
      <c r="B11" s="54" t="s">
        <v>182</v>
      </c>
      <c r="C11" s="43">
        <v>870000</v>
      </c>
    </row>
    <row r="12" spans="1:10" x14ac:dyDescent="0.25">
      <c r="A12" s="10"/>
      <c r="B12" s="54" t="s">
        <v>184</v>
      </c>
      <c r="C12" s="44">
        <v>0.05</v>
      </c>
    </row>
    <row r="13" spans="1:10" x14ac:dyDescent="0.25">
      <c r="A13" s="10"/>
      <c r="B13" s="54" t="s">
        <v>185</v>
      </c>
      <c r="C13" s="44">
        <v>0.1</v>
      </c>
    </row>
    <row r="14" spans="1:10" x14ac:dyDescent="0.25">
      <c r="A14" s="10"/>
      <c r="B14" s="54" t="s">
        <v>186</v>
      </c>
      <c r="C14" s="44">
        <v>0.15</v>
      </c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B20" s="1"/>
    </row>
    <row r="21" spans="1:10" x14ac:dyDescent="0.25">
      <c r="A21" s="10"/>
      <c r="B21" s="54" t="s">
        <v>187</v>
      </c>
      <c r="C21" s="38">
        <f>C$9+C$10/(1+C12)+C$11/(1+C12)^2</f>
        <v>117687.07482993195</v>
      </c>
    </row>
    <row r="22" spans="1:10" x14ac:dyDescent="0.25">
      <c r="A22" s="10"/>
      <c r="B22" s="54" t="s">
        <v>188</v>
      </c>
      <c r="C22" s="38">
        <f>C$9+C$10/(1+C13)+C$11/(1+C13)^2</f>
        <v>46280.991735537071</v>
      </c>
      <c r="E22" s="93"/>
      <c r="F22" s="93"/>
      <c r="G22" s="19"/>
    </row>
    <row r="23" spans="1:10" x14ac:dyDescent="0.25">
      <c r="A23" s="10"/>
      <c r="B23" s="54" t="s">
        <v>189</v>
      </c>
      <c r="C23" s="38">
        <f>C$9+C$10/(1+C14)+C$11/(1+C14)^2</f>
        <v>-16068.052930056583</v>
      </c>
      <c r="G23" s="19"/>
    </row>
    <row r="24" spans="1:10" x14ac:dyDescent="0.25">
      <c r="A24" s="10"/>
      <c r="B24" s="54" t="s">
        <v>190</v>
      </c>
      <c r="C24" s="65">
        <f>IRR(C9:C11)</f>
        <v>0.13646952427765235</v>
      </c>
      <c r="E24" s="94"/>
      <c r="F24" s="94"/>
      <c r="G24" s="19"/>
    </row>
    <row r="25" spans="1:10" x14ac:dyDescent="0.25">
      <c r="A25" s="10"/>
      <c r="B25" s="54" t="s">
        <v>192</v>
      </c>
      <c r="C25" s="66">
        <f>ROUND(C24,4)</f>
        <v>0.13650000000000001</v>
      </c>
      <c r="G25" s="19"/>
    </row>
    <row r="26" spans="1:10" x14ac:dyDescent="0.25">
      <c r="A26" s="10"/>
      <c r="B26" s="54" t="s">
        <v>191</v>
      </c>
      <c r="C26" s="38">
        <f>C$9+C$10/(1+C25)+C$11/(1+C25)^2</f>
        <v>-36.833239492261782</v>
      </c>
    </row>
    <row r="27" spans="1:10" x14ac:dyDescent="0.25">
      <c r="A27" s="10"/>
    </row>
    <row r="28" spans="1:10" x14ac:dyDescent="0.25">
      <c r="A28" s="10"/>
    </row>
    <row r="29" spans="1:10" x14ac:dyDescent="0.25">
      <c r="A29" s="10"/>
    </row>
    <row r="30" spans="1:10" x14ac:dyDescent="0.25">
      <c r="A30" s="10"/>
    </row>
    <row r="31" spans="1:10" x14ac:dyDescent="0.25">
      <c r="A31" s="10"/>
      <c r="B31" s="20"/>
      <c r="C31" s="21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</sheetData>
  <mergeCells count="2">
    <mergeCell ref="E22:F22"/>
    <mergeCell ref="E24:F2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7" workbookViewId="0">
      <selection activeCell="C13" sqref="C13"/>
    </sheetView>
  </sheetViews>
  <sheetFormatPr defaultRowHeight="15" x14ac:dyDescent="0.25"/>
  <cols>
    <col min="1" max="1" width="10" style="54" customWidth="1"/>
    <col min="2" max="2" width="42.28515625" style="54" customWidth="1"/>
    <col min="3" max="16384" width="9.140625" style="54"/>
  </cols>
  <sheetData>
    <row r="1" spans="1:10" s="1" customFormat="1" x14ac:dyDescent="0.25">
      <c r="A1" s="1" t="s">
        <v>64</v>
      </c>
    </row>
    <row r="2" spans="1:10" ht="18.75" x14ac:dyDescent="0.3">
      <c r="A2" s="30" t="s">
        <v>154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54" t="s">
        <v>4</v>
      </c>
    </row>
    <row r="9" spans="1:10" x14ac:dyDescent="0.25">
      <c r="B9" s="40" t="s">
        <v>8</v>
      </c>
      <c r="C9" s="44">
        <v>7.0000000000000007E-2</v>
      </c>
    </row>
    <row r="10" spans="1:10" x14ac:dyDescent="0.25">
      <c r="B10" s="54" t="s">
        <v>193</v>
      </c>
      <c r="C10" s="43">
        <v>100</v>
      </c>
    </row>
    <row r="11" spans="1:10" x14ac:dyDescent="0.25">
      <c r="A11" s="8" t="s">
        <v>4</v>
      </c>
      <c r="B11" s="54" t="s">
        <v>194</v>
      </c>
      <c r="C11" s="88">
        <f>C10</f>
        <v>100</v>
      </c>
    </row>
    <row r="12" spans="1:10" x14ac:dyDescent="0.25">
      <c r="A12" s="10"/>
      <c r="B12" s="54" t="s">
        <v>195</v>
      </c>
      <c r="C12" s="88">
        <f>C10</f>
        <v>100</v>
      </c>
    </row>
    <row r="13" spans="1:10" x14ac:dyDescent="0.25">
      <c r="A13" s="10"/>
    </row>
    <row r="14" spans="1:10" x14ac:dyDescent="0.25">
      <c r="A14" s="10"/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B20" s="1" t="s">
        <v>36</v>
      </c>
    </row>
    <row r="21" spans="1:10" x14ac:dyDescent="0.25">
      <c r="A21" s="10"/>
      <c r="B21" s="54" t="s">
        <v>196</v>
      </c>
      <c r="C21" s="38">
        <f>C10/C9</f>
        <v>1428.5714285714284</v>
      </c>
    </row>
    <row r="22" spans="1:10" x14ac:dyDescent="0.25">
      <c r="A22" s="10"/>
      <c r="C22" s="35"/>
      <c r="E22" s="93"/>
      <c r="F22" s="93"/>
      <c r="G22" s="19"/>
    </row>
    <row r="23" spans="1:10" x14ac:dyDescent="0.25">
      <c r="A23" s="10"/>
      <c r="B23" s="1" t="s">
        <v>37</v>
      </c>
      <c r="C23" s="35"/>
      <c r="G23" s="19"/>
    </row>
    <row r="24" spans="1:10" x14ac:dyDescent="0.25">
      <c r="A24" s="10"/>
      <c r="B24" s="40" t="s">
        <v>197</v>
      </c>
      <c r="C24" s="38">
        <f>C11/C9*(1+C9)</f>
        <v>1528.5714285714284</v>
      </c>
      <c r="E24" s="94"/>
      <c r="F24" s="94"/>
      <c r="G24" s="19"/>
    </row>
    <row r="25" spans="1:10" x14ac:dyDescent="0.25">
      <c r="A25" s="10"/>
      <c r="C25" s="35"/>
      <c r="G25" s="19"/>
    </row>
    <row r="26" spans="1:10" x14ac:dyDescent="0.25">
      <c r="A26" s="10"/>
      <c r="B26" s="1" t="s">
        <v>39</v>
      </c>
      <c r="C26" s="35"/>
    </row>
    <row r="27" spans="1:10" x14ac:dyDescent="0.25">
      <c r="A27" s="10"/>
      <c r="B27" s="54" t="s">
        <v>198</v>
      </c>
      <c r="C27" s="38">
        <f>C12/(C28)</f>
        <v>1478.0076495128606</v>
      </c>
    </row>
    <row r="28" spans="1:10" x14ac:dyDescent="0.25">
      <c r="A28" s="10"/>
      <c r="B28" s="54" t="s">
        <v>199</v>
      </c>
      <c r="C28" s="58">
        <f>LN(1+C9)</f>
        <v>6.7658648473814864E-2</v>
      </c>
    </row>
    <row r="29" spans="1:10" x14ac:dyDescent="0.25">
      <c r="A29" s="10"/>
    </row>
    <row r="30" spans="1:10" x14ac:dyDescent="0.25">
      <c r="A30" s="10"/>
      <c r="B30" s="20"/>
      <c r="C30" s="21"/>
    </row>
    <row r="31" spans="1:10" x14ac:dyDescent="0.25">
      <c r="A31" s="13"/>
      <c r="B31" s="22"/>
      <c r="C31" s="23"/>
      <c r="D31" s="17"/>
      <c r="E31" s="17"/>
      <c r="F31" s="17"/>
      <c r="G31" s="17"/>
      <c r="H31" s="17"/>
      <c r="I31" s="17"/>
      <c r="J31" s="17"/>
    </row>
    <row r="32" spans="1:10" x14ac:dyDescent="0.25">
      <c r="A32" s="10"/>
      <c r="B32" s="20"/>
      <c r="C32" s="24"/>
    </row>
    <row r="33" spans="1:10" x14ac:dyDescent="0.25">
      <c r="A33" s="6"/>
      <c r="B33" s="25" t="s">
        <v>6</v>
      </c>
      <c r="C33" s="6"/>
      <c r="D33" s="6"/>
      <c r="E33" s="6"/>
      <c r="F33" s="6"/>
      <c r="G33" s="6"/>
      <c r="H33" s="6"/>
      <c r="I33" s="6"/>
      <c r="J33" s="6"/>
    </row>
  </sheetData>
  <mergeCells count="2">
    <mergeCell ref="E22:F22"/>
    <mergeCell ref="E24:F2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C16" sqref="C16"/>
    </sheetView>
  </sheetViews>
  <sheetFormatPr defaultRowHeight="15" x14ac:dyDescent="0.25"/>
  <cols>
    <col min="1" max="1" width="10" style="54" customWidth="1"/>
    <col min="2" max="2" width="38.140625" style="54" customWidth="1"/>
    <col min="3" max="3" width="17.5703125" style="54" bestFit="1" customWidth="1"/>
    <col min="4" max="4" width="19.7109375" style="54" customWidth="1"/>
    <col min="5" max="16384" width="9.140625" style="54"/>
  </cols>
  <sheetData>
    <row r="1" spans="1:10" s="1" customFormat="1" x14ac:dyDescent="0.25">
      <c r="A1" s="1" t="s">
        <v>64</v>
      </c>
    </row>
    <row r="2" spans="1:10" ht="18.75" x14ac:dyDescent="0.3">
      <c r="A2" s="30" t="s">
        <v>155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54" t="s">
        <v>4</v>
      </c>
    </row>
    <row r="9" spans="1:10" x14ac:dyDescent="0.25">
      <c r="B9" s="40" t="s">
        <v>200</v>
      </c>
      <c r="C9" s="44">
        <v>0.08</v>
      </c>
    </row>
    <row r="10" spans="1:10" x14ac:dyDescent="0.25">
      <c r="A10" s="8" t="s">
        <v>4</v>
      </c>
      <c r="B10" s="54" t="s">
        <v>201</v>
      </c>
      <c r="C10" s="89">
        <v>2.8</v>
      </c>
      <c r="D10" s="54" t="s">
        <v>4</v>
      </c>
    </row>
    <row r="11" spans="1:10" x14ac:dyDescent="0.25">
      <c r="A11" s="10"/>
      <c r="B11" s="54" t="s">
        <v>202</v>
      </c>
      <c r="C11" s="89">
        <v>2.8</v>
      </c>
      <c r="D11" s="54" t="s">
        <v>4</v>
      </c>
    </row>
    <row r="12" spans="1:10" x14ac:dyDescent="0.25">
      <c r="A12" s="10"/>
      <c r="B12" s="54" t="s">
        <v>203</v>
      </c>
      <c r="C12" s="44">
        <v>0.06</v>
      </c>
    </row>
    <row r="13" spans="1:10" x14ac:dyDescent="0.25">
      <c r="A13" s="10"/>
      <c r="B13" s="54" t="s">
        <v>204</v>
      </c>
      <c r="C13" s="89">
        <v>2.8</v>
      </c>
      <c r="D13" s="54" t="s">
        <v>207</v>
      </c>
    </row>
    <row r="14" spans="1:10" x14ac:dyDescent="0.25">
      <c r="A14" s="10"/>
      <c r="B14" s="54" t="s">
        <v>33</v>
      </c>
      <c r="C14" s="45">
        <v>20</v>
      </c>
    </row>
    <row r="15" spans="1:10" x14ac:dyDescent="0.25">
      <c r="A15" s="10"/>
      <c r="B15" s="54" t="s">
        <v>205</v>
      </c>
      <c r="C15" s="89">
        <v>2.8</v>
      </c>
      <c r="D15" s="54" t="s">
        <v>207</v>
      </c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C20" s="63">
        <f>C9</f>
        <v>0.08</v>
      </c>
      <c r="D20" s="63"/>
    </row>
    <row r="21" spans="1:10" x14ac:dyDescent="0.25">
      <c r="A21" s="10"/>
      <c r="B21" s="1" t="s">
        <v>36</v>
      </c>
    </row>
    <row r="22" spans="1:10" x14ac:dyDescent="0.25">
      <c r="A22" s="10"/>
      <c r="B22" s="54" t="s">
        <v>40</v>
      </c>
      <c r="C22" s="67">
        <f>C10/C20</f>
        <v>35</v>
      </c>
      <c r="D22" s="36" t="s">
        <v>207</v>
      </c>
      <c r="E22" s="93"/>
      <c r="F22" s="93"/>
      <c r="G22" s="19"/>
    </row>
    <row r="23" spans="1:10" x14ac:dyDescent="0.25">
      <c r="A23" s="10"/>
      <c r="C23" s="68"/>
      <c r="G23" s="19"/>
    </row>
    <row r="24" spans="1:10" x14ac:dyDescent="0.25">
      <c r="A24" s="10"/>
      <c r="B24" s="1" t="s">
        <v>37</v>
      </c>
      <c r="C24" s="68"/>
      <c r="E24" s="94"/>
      <c r="F24" s="94"/>
      <c r="G24" s="19"/>
    </row>
    <row r="25" spans="1:10" x14ac:dyDescent="0.25">
      <c r="A25" s="10"/>
      <c r="B25" s="54" t="s">
        <v>40</v>
      </c>
      <c r="C25" s="67">
        <f>C10/(C20-C12)</f>
        <v>139.99999999999997</v>
      </c>
      <c r="D25" s="36" t="s">
        <v>207</v>
      </c>
      <c r="G25" s="19"/>
    </row>
    <row r="26" spans="1:10" x14ac:dyDescent="0.25">
      <c r="A26" s="10"/>
      <c r="C26" s="68"/>
      <c r="D26" s="36"/>
    </row>
    <row r="27" spans="1:10" x14ac:dyDescent="0.25">
      <c r="A27" s="10"/>
      <c r="B27" s="1" t="s">
        <v>39</v>
      </c>
      <c r="C27" s="68"/>
      <c r="D27" s="36"/>
    </row>
    <row r="28" spans="1:10" x14ac:dyDescent="0.25">
      <c r="A28" s="10"/>
      <c r="B28" s="54" t="s">
        <v>206</v>
      </c>
      <c r="C28" s="67">
        <f>$C13*((1/C20)-(1/(C20*(1+C20)^$C14)))</f>
        <v>27.490812740858022</v>
      </c>
      <c r="D28" s="36" t="s">
        <v>207</v>
      </c>
    </row>
    <row r="29" spans="1:10" x14ac:dyDescent="0.25">
      <c r="A29" s="10"/>
      <c r="C29" s="36"/>
      <c r="D29" s="36"/>
    </row>
    <row r="30" spans="1:10" x14ac:dyDescent="0.25">
      <c r="A30" s="10"/>
      <c r="B30" s="1" t="s">
        <v>41</v>
      </c>
      <c r="C30" s="36"/>
      <c r="D30" s="36"/>
    </row>
    <row r="31" spans="1:10" x14ac:dyDescent="0.25">
      <c r="A31" s="10"/>
      <c r="B31" s="40" t="s">
        <v>199</v>
      </c>
      <c r="C31" s="64">
        <f>LN(1+C20)</f>
        <v>7.6961041136128394E-2</v>
      </c>
      <c r="D31" s="58"/>
    </row>
    <row r="32" spans="1:10" x14ac:dyDescent="0.25">
      <c r="A32" s="10"/>
      <c r="B32" s="40" t="s">
        <v>40</v>
      </c>
      <c r="C32" s="67">
        <f>$C15*((1/C31)-(1/(C31*EXP(C31*$C14))))</f>
        <v>28.576341832208197</v>
      </c>
      <c r="D32" s="36" t="s">
        <v>207</v>
      </c>
    </row>
    <row r="33" spans="1:10" x14ac:dyDescent="0.25">
      <c r="A33" s="10"/>
      <c r="B33" s="20"/>
      <c r="C33" s="21"/>
    </row>
    <row r="34" spans="1:10" x14ac:dyDescent="0.25">
      <c r="A34" s="13"/>
      <c r="B34" s="22"/>
      <c r="C34" s="23" t="s">
        <v>4</v>
      </c>
      <c r="D34" s="17"/>
      <c r="E34" s="17"/>
      <c r="F34" s="17"/>
      <c r="G34" s="17"/>
      <c r="H34" s="17"/>
      <c r="I34" s="17"/>
      <c r="J34" s="17"/>
    </row>
    <row r="35" spans="1:10" x14ac:dyDescent="0.25">
      <c r="A35" s="10"/>
      <c r="B35" s="20"/>
      <c r="C35" s="24"/>
    </row>
    <row r="36" spans="1:10" x14ac:dyDescent="0.25">
      <c r="A36" s="6"/>
      <c r="B36" s="25" t="s">
        <v>6</v>
      </c>
      <c r="C36" s="6"/>
      <c r="D36" s="6"/>
      <c r="E36" s="6"/>
      <c r="F36" s="6"/>
      <c r="G36" s="6"/>
      <c r="H36" s="6"/>
      <c r="I36" s="6"/>
      <c r="J36" s="6"/>
    </row>
  </sheetData>
  <mergeCells count="2">
    <mergeCell ref="E22:F22"/>
    <mergeCell ref="E24:F24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workbookViewId="0">
      <selection activeCell="C12" sqref="C12"/>
    </sheetView>
  </sheetViews>
  <sheetFormatPr defaultRowHeight="15" x14ac:dyDescent="0.25"/>
  <cols>
    <col min="1" max="1" width="10" style="54" customWidth="1"/>
    <col min="2" max="2" width="38.140625" style="54" customWidth="1"/>
    <col min="3" max="3" width="9.140625" style="54" customWidth="1"/>
    <col min="4" max="16384" width="9.140625" style="54"/>
  </cols>
  <sheetData>
    <row r="1" spans="1:10" s="1" customFormat="1" x14ac:dyDescent="0.25">
      <c r="A1" s="1" t="s">
        <v>64</v>
      </c>
    </row>
    <row r="2" spans="1:10" ht="18.75" x14ac:dyDescent="0.3">
      <c r="A2" s="30" t="s">
        <v>156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54" t="s">
        <v>4</v>
      </c>
    </row>
    <row r="9" spans="1:10" x14ac:dyDescent="0.25">
      <c r="B9" s="40" t="s">
        <v>9</v>
      </c>
      <c r="C9" s="45">
        <v>23</v>
      </c>
    </row>
    <row r="10" spans="1:10" x14ac:dyDescent="0.25">
      <c r="B10" s="54" t="s">
        <v>151</v>
      </c>
      <c r="C10" s="43">
        <v>200</v>
      </c>
    </row>
    <row r="11" spans="1:10" x14ac:dyDescent="0.25">
      <c r="A11" s="8" t="s">
        <v>4</v>
      </c>
      <c r="B11" s="54" t="s">
        <v>8</v>
      </c>
      <c r="C11" s="44">
        <v>0.15</v>
      </c>
    </row>
    <row r="12" spans="1:10" x14ac:dyDescent="0.25">
      <c r="A12" s="10"/>
    </row>
    <row r="13" spans="1:10" x14ac:dyDescent="0.25">
      <c r="A13" s="10"/>
    </row>
    <row r="14" spans="1:10" x14ac:dyDescent="0.25">
      <c r="A14" s="10"/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B20" s="1"/>
    </row>
    <row r="21" spans="1:10" ht="18" x14ac:dyDescent="0.35">
      <c r="A21" s="10"/>
      <c r="B21" s="57" t="s">
        <v>209</v>
      </c>
      <c r="C21" s="38">
        <f>C10*(1+C11)^C9</f>
        <v>4978.2915114993739</v>
      </c>
    </row>
    <row r="22" spans="1:10" ht="18" x14ac:dyDescent="0.35">
      <c r="A22" s="10"/>
      <c r="B22" s="57" t="s">
        <v>208</v>
      </c>
      <c r="C22" s="38">
        <f>C10*EXP(C11*C9)</f>
        <v>6300.0784617495847</v>
      </c>
      <c r="E22" s="93"/>
      <c r="F22" s="93"/>
      <c r="G22" s="19"/>
    </row>
    <row r="23" spans="1:10" x14ac:dyDescent="0.25">
      <c r="A23" s="10"/>
      <c r="G23" s="19"/>
    </row>
    <row r="24" spans="1:10" x14ac:dyDescent="0.25">
      <c r="A24" s="10"/>
      <c r="E24" s="94"/>
      <c r="F24" s="94"/>
      <c r="G24" s="19"/>
    </row>
    <row r="25" spans="1:10" x14ac:dyDescent="0.25">
      <c r="A25" s="10"/>
      <c r="G25" s="19"/>
    </row>
    <row r="26" spans="1:10" x14ac:dyDescent="0.25">
      <c r="A26" s="10"/>
    </row>
    <row r="27" spans="1:10" x14ac:dyDescent="0.25">
      <c r="A27" s="10"/>
    </row>
    <row r="28" spans="1:10" x14ac:dyDescent="0.25">
      <c r="A28" s="10"/>
    </row>
    <row r="29" spans="1:10" x14ac:dyDescent="0.25">
      <c r="A29" s="10"/>
    </row>
    <row r="30" spans="1:10" x14ac:dyDescent="0.25">
      <c r="A30" s="10"/>
    </row>
    <row r="31" spans="1:10" x14ac:dyDescent="0.25">
      <c r="A31" s="10"/>
      <c r="B31" s="20"/>
      <c r="C31" s="21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</sheetData>
  <mergeCells count="2">
    <mergeCell ref="E22:F22"/>
    <mergeCell ref="E24:F2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C12" sqref="C12"/>
    </sheetView>
  </sheetViews>
  <sheetFormatPr defaultRowHeight="15" x14ac:dyDescent="0.25"/>
  <cols>
    <col min="1" max="1" width="10" style="54" customWidth="1"/>
    <col min="2" max="2" width="38.140625" style="54" customWidth="1"/>
    <col min="3" max="16384" width="9.140625" style="54"/>
  </cols>
  <sheetData>
    <row r="1" spans="1:10" s="1" customFormat="1" x14ac:dyDescent="0.25">
      <c r="A1" s="1" t="s">
        <v>64</v>
      </c>
    </row>
    <row r="2" spans="1:10" ht="18.75" x14ac:dyDescent="0.3">
      <c r="A2" s="30" t="s">
        <v>157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54" t="s">
        <v>4</v>
      </c>
    </row>
    <row r="9" spans="1:10" x14ac:dyDescent="0.25">
      <c r="B9" s="40" t="s">
        <v>77</v>
      </c>
      <c r="C9" s="50">
        <v>0.12</v>
      </c>
      <c r="E9" s="54" t="s">
        <v>215</v>
      </c>
    </row>
    <row r="10" spans="1:10" x14ac:dyDescent="0.25">
      <c r="B10" s="54" t="s">
        <v>79</v>
      </c>
      <c r="C10" s="50">
        <v>0.11700000000000001</v>
      </c>
      <c r="E10" s="54" t="s">
        <v>216</v>
      </c>
    </row>
    <row r="11" spans="1:10" x14ac:dyDescent="0.25">
      <c r="A11" s="8" t="s">
        <v>4</v>
      </c>
      <c r="B11" s="54" t="s">
        <v>81</v>
      </c>
      <c r="C11" s="50">
        <v>0.115</v>
      </c>
      <c r="E11" s="54" t="s">
        <v>63</v>
      </c>
    </row>
    <row r="12" spans="1:10" x14ac:dyDescent="0.25">
      <c r="A12" s="10"/>
      <c r="B12" s="54" t="s">
        <v>211</v>
      </c>
      <c r="C12" s="45">
        <v>1</v>
      </c>
    </row>
    <row r="13" spans="1:10" x14ac:dyDescent="0.25">
      <c r="A13" s="10"/>
      <c r="B13" s="54" t="s">
        <v>212</v>
      </c>
      <c r="C13" s="45">
        <v>5</v>
      </c>
    </row>
    <row r="14" spans="1:10" x14ac:dyDescent="0.25">
      <c r="A14" s="10"/>
      <c r="B14" s="54" t="s">
        <v>213</v>
      </c>
      <c r="C14" s="45">
        <v>20</v>
      </c>
    </row>
    <row r="15" spans="1:10" x14ac:dyDescent="0.25">
      <c r="A15" s="10"/>
      <c r="B15" s="54" t="s">
        <v>217</v>
      </c>
      <c r="C15" s="36">
        <v>1</v>
      </c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B20" s="1"/>
    </row>
    <row r="21" spans="1:10" x14ac:dyDescent="0.25">
      <c r="A21" s="10"/>
      <c r="C21" s="95" t="s">
        <v>214</v>
      </c>
      <c r="D21" s="95"/>
      <c r="E21" s="95"/>
    </row>
    <row r="22" spans="1:10" x14ac:dyDescent="0.25">
      <c r="A22" s="10"/>
      <c r="B22" s="40" t="s">
        <v>218</v>
      </c>
      <c r="C22" s="54">
        <f>C12</f>
        <v>1</v>
      </c>
      <c r="D22" s="54">
        <f>C13</f>
        <v>5</v>
      </c>
      <c r="E22" s="54">
        <f>C14</f>
        <v>20</v>
      </c>
    </row>
    <row r="23" spans="1:10" x14ac:dyDescent="0.25">
      <c r="A23" s="10"/>
      <c r="B23" s="1" t="s">
        <v>36</v>
      </c>
      <c r="C23" s="70">
        <f>C15*(1+C9)^C12</f>
        <v>1.1200000000000001</v>
      </c>
      <c r="D23" s="70">
        <f>C15*(1+C9)^C13</f>
        <v>1.7623416832000005</v>
      </c>
      <c r="E23" s="71">
        <f>C15*(1+C9)^C14</f>
        <v>9.6462930932749469</v>
      </c>
      <c r="F23" s="69"/>
    </row>
    <row r="24" spans="1:10" x14ac:dyDescent="0.25">
      <c r="A24" s="10"/>
      <c r="B24" s="1" t="s">
        <v>37</v>
      </c>
      <c r="C24" s="70">
        <f>C15*(1+(C10/2))^(C12*2)</f>
        <v>1.1204222500000001</v>
      </c>
      <c r="D24" s="70">
        <f>C15*(1+(C10/2))^(C13*2)</f>
        <v>1.7656662818106104</v>
      </c>
      <c r="E24" s="70">
        <f>C15*(1+(C10/2))^(C14*2)</f>
        <v>9.7192889617309746</v>
      </c>
      <c r="F24" s="35"/>
    </row>
    <row r="25" spans="1:10" x14ac:dyDescent="0.25">
      <c r="A25" s="10"/>
      <c r="B25" s="1" t="s">
        <v>39</v>
      </c>
      <c r="C25" s="70">
        <f>C15*EXP(C11*C12)</f>
        <v>1.1218734375719384</v>
      </c>
      <c r="D25" s="70">
        <f>C15*EXP(C11*C13)</f>
        <v>1.7771305269140385</v>
      </c>
      <c r="E25" s="70">
        <f>C15*EXP(C11*C14)</f>
        <v>9.9741824548147235</v>
      </c>
      <c r="F25" s="35"/>
    </row>
    <row r="26" spans="1:10" x14ac:dyDescent="0.25">
      <c r="A26" s="10"/>
      <c r="B26" s="20"/>
      <c r="C26" s="21"/>
    </row>
    <row r="27" spans="1:10" x14ac:dyDescent="0.25">
      <c r="A27" s="13"/>
      <c r="B27" s="22"/>
      <c r="C27" s="23"/>
      <c r="D27" s="17"/>
      <c r="E27" s="17"/>
      <c r="F27" s="17"/>
      <c r="G27" s="17"/>
      <c r="H27" s="17"/>
      <c r="I27" s="17"/>
      <c r="J27" s="17"/>
    </row>
    <row r="28" spans="1:10" x14ac:dyDescent="0.25">
      <c r="A28" s="10"/>
      <c r="B28" s="20"/>
      <c r="C28" s="24"/>
    </row>
    <row r="29" spans="1:10" x14ac:dyDescent="0.25">
      <c r="A29" s="6"/>
      <c r="B29" s="25" t="s">
        <v>6</v>
      </c>
      <c r="C29" s="6"/>
      <c r="D29" s="6"/>
      <c r="E29" s="6"/>
      <c r="F29" s="6"/>
      <c r="G29" s="6"/>
      <c r="H29" s="6"/>
      <c r="I29" s="6"/>
      <c r="J29" s="6"/>
    </row>
  </sheetData>
  <mergeCells count="1">
    <mergeCell ref="C21:E2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13" sqref="C13"/>
    </sheetView>
  </sheetViews>
  <sheetFormatPr defaultRowHeight="15" x14ac:dyDescent="0.25"/>
  <cols>
    <col min="1" max="1" width="10" style="54" customWidth="1"/>
    <col min="2" max="2" width="41.140625" style="54" customWidth="1"/>
    <col min="3" max="3" width="20.42578125" style="54" bestFit="1" customWidth="1"/>
    <col min="4" max="16384" width="9.140625" style="54"/>
  </cols>
  <sheetData>
    <row r="1" spans="1:10" s="1" customFormat="1" x14ac:dyDescent="0.25">
      <c r="A1" s="1" t="s">
        <v>64</v>
      </c>
    </row>
    <row r="2" spans="1:10" ht="18.75" x14ac:dyDescent="0.3">
      <c r="A2" s="30" t="s">
        <v>158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54" t="s">
        <v>4</v>
      </c>
    </row>
    <row r="9" spans="1:10" x14ac:dyDescent="0.25">
      <c r="B9" s="40" t="s">
        <v>219</v>
      </c>
      <c r="C9" s="43">
        <v>100000</v>
      </c>
    </row>
    <row r="10" spans="1:10" x14ac:dyDescent="0.25">
      <c r="B10" s="54" t="s">
        <v>223</v>
      </c>
      <c r="C10" s="31">
        <v>9</v>
      </c>
    </row>
    <row r="11" spans="1:10" x14ac:dyDescent="0.25">
      <c r="A11" s="8" t="s">
        <v>4</v>
      </c>
      <c r="B11" s="54" t="s">
        <v>220</v>
      </c>
      <c r="C11" s="88">
        <f>C9</f>
        <v>100000</v>
      </c>
    </row>
    <row r="12" spans="1:10" x14ac:dyDescent="0.25">
      <c r="A12" s="10"/>
      <c r="B12" s="54" t="s">
        <v>221</v>
      </c>
      <c r="C12" s="44">
        <v>0.08</v>
      </c>
    </row>
    <row r="13" spans="1:10" x14ac:dyDescent="0.25">
      <c r="A13" s="10"/>
      <c r="C13" s="54" t="s">
        <v>4</v>
      </c>
    </row>
    <row r="14" spans="1:10" x14ac:dyDescent="0.25">
      <c r="A14" s="10"/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B20" s="40" t="s">
        <v>222</v>
      </c>
      <c r="C20" s="90">
        <f>(1+C12)^0.5-1</f>
        <v>3.9230484541326494E-2</v>
      </c>
    </row>
    <row r="21" spans="1:10" x14ac:dyDescent="0.25">
      <c r="A21" s="10"/>
      <c r="B21" s="54" t="s">
        <v>224</v>
      </c>
      <c r="C21" s="38">
        <f>C9+(C11*((1/C20)-(1/(C20*(1+C20)^C10))))</f>
        <v>846147.28265100042</v>
      </c>
    </row>
    <row r="22" spans="1:10" x14ac:dyDescent="0.25">
      <c r="A22" s="10"/>
      <c r="E22" s="93"/>
      <c r="F22" s="93"/>
      <c r="G22" s="19"/>
    </row>
    <row r="23" spans="1:10" x14ac:dyDescent="0.25">
      <c r="A23" s="10"/>
      <c r="G23" s="19"/>
    </row>
    <row r="24" spans="1:10" x14ac:dyDescent="0.25">
      <c r="A24" s="10"/>
      <c r="E24" s="94"/>
      <c r="F24" s="94"/>
      <c r="G24" s="19"/>
    </row>
    <row r="25" spans="1:10" x14ac:dyDescent="0.25">
      <c r="A25" s="10"/>
      <c r="G25" s="19"/>
    </row>
    <row r="26" spans="1:10" x14ac:dyDescent="0.25">
      <c r="A26" s="10"/>
    </row>
    <row r="27" spans="1:10" x14ac:dyDescent="0.25">
      <c r="A27" s="10"/>
    </row>
    <row r="28" spans="1:10" x14ac:dyDescent="0.25">
      <c r="A28" s="10"/>
    </row>
    <row r="29" spans="1:10" x14ac:dyDescent="0.25">
      <c r="A29" s="10"/>
    </row>
    <row r="30" spans="1:10" x14ac:dyDescent="0.25">
      <c r="A30" s="10"/>
    </row>
    <row r="31" spans="1:10" x14ac:dyDescent="0.25">
      <c r="A31" s="10"/>
      <c r="B31" s="20"/>
      <c r="C31" s="21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</sheetData>
  <mergeCells count="2">
    <mergeCell ref="E22:F22"/>
    <mergeCell ref="E24:F2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21" sqref="C21"/>
    </sheetView>
  </sheetViews>
  <sheetFormatPr defaultRowHeight="15" x14ac:dyDescent="0.25"/>
  <cols>
    <col min="1" max="1" width="10" style="54" customWidth="1"/>
    <col min="2" max="2" width="38.140625" style="54" customWidth="1"/>
    <col min="3" max="3" width="12.7109375" style="54" bestFit="1" customWidth="1"/>
    <col min="4" max="16384" width="9.140625" style="54"/>
  </cols>
  <sheetData>
    <row r="1" spans="1:10" s="1" customFormat="1" x14ac:dyDescent="0.25">
      <c r="A1" s="1" t="s">
        <v>64</v>
      </c>
    </row>
    <row r="2" spans="1:10" ht="18.75" x14ac:dyDescent="0.3">
      <c r="A2" s="30" t="s">
        <v>159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54" t="s">
        <v>4</v>
      </c>
    </row>
    <row r="9" spans="1:10" x14ac:dyDescent="0.25">
      <c r="B9" s="40" t="s">
        <v>225</v>
      </c>
      <c r="C9" s="43">
        <v>9420713</v>
      </c>
    </row>
    <row r="10" spans="1:10" x14ac:dyDescent="0.25">
      <c r="B10" s="54" t="s">
        <v>226</v>
      </c>
      <c r="C10" s="45">
        <v>19</v>
      </c>
    </row>
    <row r="11" spans="1:10" x14ac:dyDescent="0.25">
      <c r="A11" s="8" t="s">
        <v>4</v>
      </c>
      <c r="B11" s="54" t="s">
        <v>77</v>
      </c>
      <c r="C11" s="44">
        <v>0.08</v>
      </c>
    </row>
    <row r="12" spans="1:10" x14ac:dyDescent="0.25">
      <c r="A12" s="10"/>
      <c r="B12" s="54" t="s">
        <v>227</v>
      </c>
      <c r="C12" s="43">
        <v>4200000</v>
      </c>
    </row>
    <row r="13" spans="1:10" x14ac:dyDescent="0.25">
      <c r="A13" s="10"/>
    </row>
    <row r="14" spans="1:10" x14ac:dyDescent="0.25">
      <c r="A14" s="10"/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B20" s="1" t="s">
        <v>36</v>
      </c>
    </row>
    <row r="21" spans="1:10" x14ac:dyDescent="0.25">
      <c r="A21" s="10"/>
      <c r="B21" s="40" t="s">
        <v>228</v>
      </c>
      <c r="C21" s="41">
        <f>(C9/C10)*((1/C11)-(1/(C11*(1+C11)^C10)))</f>
        <v>4761723.7805608306</v>
      </c>
    </row>
    <row r="22" spans="1:10" x14ac:dyDescent="0.25">
      <c r="A22" s="10"/>
      <c r="C22" s="42"/>
      <c r="E22" s="93"/>
      <c r="F22" s="93"/>
      <c r="G22" s="19"/>
    </row>
    <row r="23" spans="1:10" x14ac:dyDescent="0.25">
      <c r="A23" s="10"/>
      <c r="B23" s="1" t="s">
        <v>37</v>
      </c>
      <c r="C23" s="42"/>
      <c r="G23" s="19"/>
    </row>
    <row r="24" spans="1:10" x14ac:dyDescent="0.25">
      <c r="A24" s="10"/>
      <c r="B24" s="40" t="s">
        <v>229</v>
      </c>
      <c r="C24" s="65">
        <f>RATE(C10,C9/C10,-C12)</f>
        <v>9.8110245682150557E-2</v>
      </c>
      <c r="E24" s="94"/>
      <c r="F24" s="94"/>
      <c r="G24" s="19"/>
    </row>
    <row r="25" spans="1:10" x14ac:dyDescent="0.25">
      <c r="A25" s="10"/>
      <c r="C25" s="42"/>
      <c r="G25" s="19"/>
    </row>
    <row r="26" spans="1:10" x14ac:dyDescent="0.25">
      <c r="A26" s="10"/>
    </row>
    <row r="27" spans="1:10" x14ac:dyDescent="0.25">
      <c r="A27" s="10"/>
    </row>
    <row r="28" spans="1:10" x14ac:dyDescent="0.25">
      <c r="A28" s="10"/>
    </row>
    <row r="29" spans="1:10" x14ac:dyDescent="0.25">
      <c r="A29" s="10"/>
    </row>
    <row r="30" spans="1:10" x14ac:dyDescent="0.25">
      <c r="A30" s="10"/>
    </row>
    <row r="31" spans="1:10" x14ac:dyDescent="0.25">
      <c r="A31" s="10"/>
      <c r="B31" s="20"/>
      <c r="C31" s="21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</sheetData>
  <mergeCells count="2">
    <mergeCell ref="E22:F22"/>
    <mergeCell ref="E24:F2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H23" sqref="H23"/>
    </sheetView>
  </sheetViews>
  <sheetFormatPr defaultRowHeight="15" x14ac:dyDescent="0.25"/>
  <cols>
    <col min="1" max="1" width="10" style="54" customWidth="1"/>
    <col min="2" max="2" width="38.140625" style="54" customWidth="1"/>
    <col min="3" max="3" width="13.42578125" style="54" customWidth="1"/>
    <col min="4" max="4" width="10.7109375" style="54" customWidth="1"/>
    <col min="5" max="5" width="10.85546875" style="54" customWidth="1"/>
    <col min="6" max="6" width="14.42578125" style="54" customWidth="1"/>
    <col min="7" max="16384" width="9.140625" style="54"/>
  </cols>
  <sheetData>
    <row r="1" spans="1:10" s="1" customFormat="1" x14ac:dyDescent="0.25">
      <c r="A1" s="1" t="s">
        <v>64</v>
      </c>
    </row>
    <row r="2" spans="1:10" ht="18.75" x14ac:dyDescent="0.3">
      <c r="A2" s="30" t="s">
        <v>160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54" t="s">
        <v>4</v>
      </c>
    </row>
    <row r="9" spans="1:10" x14ac:dyDescent="0.25">
      <c r="B9" s="40" t="s">
        <v>210</v>
      </c>
      <c r="C9" s="43">
        <v>70000</v>
      </c>
    </row>
    <row r="10" spans="1:10" x14ac:dyDescent="0.25">
      <c r="B10" s="54" t="s">
        <v>9</v>
      </c>
      <c r="C10" s="45">
        <v>8</v>
      </c>
    </row>
    <row r="11" spans="1:10" x14ac:dyDescent="0.25">
      <c r="A11" s="8" t="s">
        <v>4</v>
      </c>
      <c r="B11" s="54" t="s">
        <v>8</v>
      </c>
      <c r="C11" s="44">
        <v>0.08</v>
      </c>
    </row>
    <row r="12" spans="1:10" x14ac:dyDescent="0.25">
      <c r="A12" s="10"/>
    </row>
    <row r="13" spans="1:10" x14ac:dyDescent="0.25">
      <c r="A13" s="10"/>
    </row>
    <row r="14" spans="1:10" x14ac:dyDescent="0.25">
      <c r="A14" s="10"/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B20" s="1" t="s">
        <v>36</v>
      </c>
    </row>
    <row r="21" spans="1:10" x14ac:dyDescent="0.25">
      <c r="A21" s="10"/>
      <c r="B21" s="54" t="s">
        <v>12</v>
      </c>
      <c r="C21" s="38">
        <f>C9*((1/C11)-(1/(C11*(1+C11)^C10)))</f>
        <v>402264.72606077121</v>
      </c>
    </row>
    <row r="22" spans="1:10" x14ac:dyDescent="0.25">
      <c r="A22" s="10"/>
      <c r="E22" s="93"/>
      <c r="F22" s="93"/>
      <c r="G22" s="19"/>
    </row>
    <row r="23" spans="1:10" x14ac:dyDescent="0.25">
      <c r="A23" s="10"/>
      <c r="B23" s="1" t="s">
        <v>37</v>
      </c>
      <c r="G23" s="19"/>
    </row>
    <row r="24" spans="1:10" s="74" customFormat="1" ht="30" x14ac:dyDescent="0.25">
      <c r="A24" s="72"/>
      <c r="B24" s="73" t="s">
        <v>230</v>
      </c>
      <c r="C24" s="74" t="s">
        <v>231</v>
      </c>
      <c r="D24" s="74" t="s">
        <v>234</v>
      </c>
      <c r="E24" s="74" t="s">
        <v>233</v>
      </c>
      <c r="F24" s="74" t="s">
        <v>232</v>
      </c>
      <c r="G24" s="75"/>
    </row>
    <row r="25" spans="1:10" x14ac:dyDescent="0.25">
      <c r="A25" s="10"/>
      <c r="C25" s="38">
        <f>C21</f>
        <v>402264.72606077121</v>
      </c>
      <c r="D25" s="38">
        <f>C25*C11</f>
        <v>32181.178084861698</v>
      </c>
      <c r="E25" s="38">
        <f>C9-D25</f>
        <v>37818.821915138302</v>
      </c>
      <c r="F25" s="38">
        <f>C25-E25</f>
        <v>364445.90414563293</v>
      </c>
      <c r="G25" s="19"/>
    </row>
    <row r="26" spans="1:10" x14ac:dyDescent="0.25">
      <c r="A26" s="10"/>
      <c r="C26" s="76">
        <f>F25</f>
        <v>364445.90414563293</v>
      </c>
      <c r="D26" s="76">
        <f>C26*C$11</f>
        <v>29155.672331650636</v>
      </c>
      <c r="E26" s="76">
        <f>C$9-D26</f>
        <v>40844.32766834936</v>
      </c>
      <c r="F26" s="76">
        <f>C26-E26</f>
        <v>323601.57647728355</v>
      </c>
    </row>
    <row r="27" spans="1:10" x14ac:dyDescent="0.25">
      <c r="A27" s="10"/>
      <c r="C27" s="76">
        <f t="shared" ref="C27:C31" si="0">F26</f>
        <v>323601.57647728355</v>
      </c>
      <c r="D27" s="76">
        <f t="shared" ref="D27:D32" si="1">C27*C$11</f>
        <v>25888.126118182685</v>
      </c>
      <c r="E27" s="76">
        <f t="shared" ref="E27:E31" si="2">C$9-D27</f>
        <v>44111.873881817315</v>
      </c>
      <c r="F27" s="76">
        <f t="shared" ref="F27:F31" si="3">C27-E27</f>
        <v>279489.70259546622</v>
      </c>
    </row>
    <row r="28" spans="1:10" x14ac:dyDescent="0.25">
      <c r="A28" s="10"/>
      <c r="C28" s="76">
        <f t="shared" si="0"/>
        <v>279489.70259546622</v>
      </c>
      <c r="D28" s="76">
        <f t="shared" si="1"/>
        <v>22359.176207637298</v>
      </c>
      <c r="E28" s="76">
        <f t="shared" si="2"/>
        <v>47640.823792362702</v>
      </c>
      <c r="F28" s="76">
        <f t="shared" si="3"/>
        <v>231848.87880310352</v>
      </c>
    </row>
    <row r="29" spans="1:10" x14ac:dyDescent="0.25">
      <c r="A29" s="10"/>
      <c r="C29" s="76">
        <f t="shared" si="0"/>
        <v>231848.87880310352</v>
      </c>
      <c r="D29" s="76">
        <f t="shared" si="1"/>
        <v>18547.910304248282</v>
      </c>
      <c r="E29" s="76">
        <f t="shared" si="2"/>
        <v>51452.089695751718</v>
      </c>
      <c r="F29" s="76">
        <f t="shared" si="3"/>
        <v>180396.7891073518</v>
      </c>
    </row>
    <row r="30" spans="1:10" x14ac:dyDescent="0.25">
      <c r="A30" s="10"/>
      <c r="C30" s="76">
        <f t="shared" si="0"/>
        <v>180396.7891073518</v>
      </c>
      <c r="D30" s="76">
        <f t="shared" si="1"/>
        <v>14431.743128588145</v>
      </c>
      <c r="E30" s="76">
        <f t="shared" si="2"/>
        <v>55568.256871411853</v>
      </c>
      <c r="F30" s="76">
        <f t="shared" si="3"/>
        <v>124828.53223593994</v>
      </c>
    </row>
    <row r="31" spans="1:10" x14ac:dyDescent="0.25">
      <c r="A31" s="10"/>
      <c r="B31" s="20"/>
      <c r="C31" s="76">
        <f t="shared" si="0"/>
        <v>124828.53223593994</v>
      </c>
      <c r="D31" s="76">
        <f t="shared" si="1"/>
        <v>9986.2825788751961</v>
      </c>
      <c r="E31" s="76">
        <f t="shared" si="2"/>
        <v>60013.717421124806</v>
      </c>
      <c r="F31" s="76">
        <f t="shared" si="3"/>
        <v>64814.814814815138</v>
      </c>
    </row>
    <row r="32" spans="1:10" s="55" customFormat="1" x14ac:dyDescent="0.25">
      <c r="A32" s="10"/>
      <c r="B32" s="20"/>
      <c r="C32" s="76">
        <f t="shared" ref="C32" si="4">F31</f>
        <v>64814.814814815138</v>
      </c>
      <c r="D32" s="76">
        <f t="shared" si="1"/>
        <v>5185.1851851852107</v>
      </c>
      <c r="E32" s="76">
        <f t="shared" ref="E32" si="5">C$9-D32</f>
        <v>64814.814814814788</v>
      </c>
      <c r="F32" s="76">
        <f t="shared" ref="F32" si="6">C32-E32</f>
        <v>3.4924596548080444E-10</v>
      </c>
    </row>
    <row r="33" spans="1:10" s="55" customFormat="1" x14ac:dyDescent="0.25">
      <c r="A33" s="10"/>
      <c r="B33" s="20"/>
      <c r="C33" s="35"/>
      <c r="D33" s="35"/>
      <c r="E33" s="35"/>
      <c r="F33" s="35"/>
    </row>
    <row r="34" spans="1:10" s="55" customFormat="1" x14ac:dyDescent="0.25">
      <c r="A34" s="10"/>
      <c r="B34" s="20"/>
      <c r="C34" s="35"/>
      <c r="D34" s="35"/>
      <c r="E34" s="35"/>
      <c r="F34" s="35"/>
    </row>
    <row r="35" spans="1:10" x14ac:dyDescent="0.25">
      <c r="A35" s="13"/>
      <c r="B35" s="22"/>
      <c r="C35" s="23"/>
      <c r="D35" s="17"/>
      <c r="E35" s="17"/>
      <c r="F35" s="17"/>
      <c r="G35" s="17"/>
      <c r="H35" s="17"/>
      <c r="I35" s="17"/>
      <c r="J35" s="17"/>
    </row>
    <row r="36" spans="1:10" x14ac:dyDescent="0.25">
      <c r="A36" s="10"/>
      <c r="B36" s="20"/>
      <c r="C36" s="24"/>
    </row>
    <row r="37" spans="1:10" x14ac:dyDescent="0.25">
      <c r="A37" s="6"/>
      <c r="B37" s="25" t="s">
        <v>6</v>
      </c>
      <c r="C37" s="6"/>
      <c r="D37" s="6"/>
      <c r="E37" s="6"/>
      <c r="F37" s="6"/>
      <c r="G37" s="6"/>
      <c r="H37" s="6"/>
      <c r="I37" s="6"/>
      <c r="J37" s="6"/>
    </row>
  </sheetData>
  <mergeCells count="1">
    <mergeCell ref="E22:F22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4" workbookViewId="0">
      <selection activeCell="D27" sqref="D27"/>
    </sheetView>
  </sheetViews>
  <sheetFormatPr defaultRowHeight="15" x14ac:dyDescent="0.25"/>
  <cols>
    <col min="1" max="1" width="10" style="54" customWidth="1"/>
    <col min="2" max="2" width="38.140625" style="54" customWidth="1"/>
    <col min="3" max="3" width="12.7109375" style="54" bestFit="1" customWidth="1"/>
    <col min="4" max="16384" width="9.140625" style="54"/>
  </cols>
  <sheetData>
    <row r="1" spans="1:10" s="1" customFormat="1" x14ac:dyDescent="0.25">
      <c r="A1" s="1" t="s">
        <v>64</v>
      </c>
    </row>
    <row r="2" spans="1:10" ht="18.75" x14ac:dyDescent="0.3">
      <c r="A2" s="30" t="s">
        <v>161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54" t="s">
        <v>4</v>
      </c>
    </row>
    <row r="9" spans="1:10" x14ac:dyDescent="0.25">
      <c r="B9" s="40" t="s">
        <v>235</v>
      </c>
      <c r="C9" s="45">
        <v>35</v>
      </c>
    </row>
    <row r="10" spans="1:10" x14ac:dyDescent="0.25">
      <c r="B10" s="54" t="s">
        <v>236</v>
      </c>
      <c r="C10" s="43">
        <v>2000000</v>
      </c>
    </row>
    <row r="11" spans="1:10" x14ac:dyDescent="0.25">
      <c r="A11" s="8" t="s">
        <v>4</v>
      </c>
      <c r="B11" s="54" t="s">
        <v>8</v>
      </c>
      <c r="C11" s="44">
        <v>0.08</v>
      </c>
    </row>
    <row r="12" spans="1:10" x14ac:dyDescent="0.25">
      <c r="A12" s="10"/>
      <c r="B12" s="54" t="s">
        <v>237</v>
      </c>
      <c r="C12" s="45">
        <v>15</v>
      </c>
    </row>
    <row r="13" spans="1:10" x14ac:dyDescent="0.25">
      <c r="A13" s="10"/>
      <c r="B13" s="54" t="s">
        <v>238</v>
      </c>
      <c r="C13" s="44">
        <v>0.04</v>
      </c>
    </row>
    <row r="14" spans="1:10" x14ac:dyDescent="0.25">
      <c r="A14" s="10"/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s="55" customFormat="1" x14ac:dyDescent="0.25">
      <c r="A20" s="10"/>
      <c r="B20" s="1" t="s">
        <v>36</v>
      </c>
    </row>
    <row r="21" spans="1:10" s="55" customFormat="1" x14ac:dyDescent="0.25">
      <c r="A21" s="10"/>
      <c r="B21" s="40" t="s">
        <v>240</v>
      </c>
      <c r="C21" s="38">
        <f>C10/((1/C11)-(1/(C11*(1+C11)^C12)))</f>
        <v>233659.08987204</v>
      </c>
    </row>
    <row r="22" spans="1:10" s="55" customFormat="1" x14ac:dyDescent="0.25">
      <c r="A22" s="10"/>
      <c r="B22" s="40"/>
      <c r="C22" s="38"/>
    </row>
    <row r="23" spans="1:10" s="55" customFormat="1" x14ac:dyDescent="0.25">
      <c r="A23" s="10"/>
      <c r="B23" s="40"/>
      <c r="C23" s="38"/>
    </row>
    <row r="24" spans="1:10" s="55" customFormat="1" x14ac:dyDescent="0.25">
      <c r="A24" s="10"/>
      <c r="B24" s="1" t="s">
        <v>37</v>
      </c>
    </row>
    <row r="25" spans="1:10" ht="17.25" customHeight="1" x14ac:dyDescent="0.25">
      <c r="A25" s="10"/>
      <c r="B25" s="40" t="s">
        <v>239</v>
      </c>
      <c r="C25" s="66">
        <f>(1+C11)/(1+C13)-1</f>
        <v>3.8461538461538547E-2</v>
      </c>
    </row>
    <row r="26" spans="1:10" x14ac:dyDescent="0.25">
      <c r="A26" s="10"/>
      <c r="B26" s="54" t="s">
        <v>274</v>
      </c>
      <c r="C26" s="38">
        <f>C10/((1/C25)-(1/(C25*(1+C25)^C12)))</f>
        <v>177952.48807915649</v>
      </c>
    </row>
    <row r="27" spans="1:10" x14ac:dyDescent="0.25">
      <c r="A27" s="10"/>
      <c r="B27" s="54" t="s">
        <v>4</v>
      </c>
      <c r="C27" s="91" t="s">
        <v>4</v>
      </c>
      <c r="D27" s="54" t="s">
        <v>4</v>
      </c>
      <c r="E27" s="93"/>
      <c r="F27" s="93"/>
      <c r="G27" s="19"/>
    </row>
    <row r="28" spans="1:10" x14ac:dyDescent="0.25">
      <c r="A28" s="10"/>
      <c r="G28" s="19"/>
    </row>
    <row r="29" spans="1:10" x14ac:dyDescent="0.25">
      <c r="A29" s="10"/>
      <c r="E29" s="94"/>
      <c r="F29" s="94"/>
      <c r="G29" s="19"/>
    </row>
    <row r="30" spans="1:10" x14ac:dyDescent="0.25">
      <c r="A30" s="10"/>
      <c r="B30" s="54" t="s">
        <v>4</v>
      </c>
      <c r="G30" s="19"/>
    </row>
    <row r="31" spans="1:10" x14ac:dyDescent="0.25">
      <c r="A31" s="10"/>
    </row>
    <row r="32" spans="1:10" x14ac:dyDescent="0.25">
      <c r="A32" s="10"/>
    </row>
    <row r="33" spans="1:10" x14ac:dyDescent="0.25">
      <c r="A33" s="10"/>
    </row>
    <row r="34" spans="1:10" x14ac:dyDescent="0.25">
      <c r="A34" s="10"/>
    </row>
    <row r="35" spans="1:10" x14ac:dyDescent="0.25">
      <c r="A35" s="10"/>
    </row>
    <row r="36" spans="1:10" x14ac:dyDescent="0.25">
      <c r="A36" s="10"/>
      <c r="B36" s="20"/>
      <c r="C36" s="21"/>
    </row>
    <row r="37" spans="1:10" x14ac:dyDescent="0.25">
      <c r="A37" s="13"/>
      <c r="B37" s="22"/>
      <c r="C37" s="23"/>
      <c r="D37" s="17"/>
      <c r="E37" s="17"/>
      <c r="F37" s="17"/>
      <c r="G37" s="17"/>
      <c r="H37" s="17"/>
      <c r="I37" s="17"/>
      <c r="J37" s="17"/>
    </row>
    <row r="38" spans="1:10" x14ac:dyDescent="0.25">
      <c r="A38" s="10"/>
      <c r="B38" s="20"/>
      <c r="C38" s="24"/>
    </row>
    <row r="39" spans="1:10" x14ac:dyDescent="0.25">
      <c r="A39" s="6"/>
      <c r="B39" s="25" t="s">
        <v>6</v>
      </c>
      <c r="C39" s="6"/>
      <c r="D39" s="6"/>
      <c r="E39" s="6"/>
      <c r="F39" s="6"/>
      <c r="G39" s="6"/>
      <c r="H39" s="6"/>
      <c r="I39" s="6"/>
      <c r="J39" s="6"/>
    </row>
  </sheetData>
  <mergeCells count="2">
    <mergeCell ref="E27:F27"/>
    <mergeCell ref="E29:F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12" sqref="C12"/>
    </sheetView>
  </sheetViews>
  <sheetFormatPr defaultRowHeight="15" x14ac:dyDescent="0.25"/>
  <cols>
    <col min="2" max="2" width="17.140625" customWidth="1"/>
    <col min="8" max="8" width="22.42578125" customWidth="1"/>
  </cols>
  <sheetData>
    <row r="1" spans="1:10" s="34" customFormat="1" x14ac:dyDescent="0.25">
      <c r="A1" s="1" t="s">
        <v>64</v>
      </c>
    </row>
    <row r="2" spans="1:10" ht="18.75" x14ac:dyDescent="0.3">
      <c r="A2" s="30" t="s">
        <v>72</v>
      </c>
      <c r="B2" s="2"/>
      <c r="C2" s="2"/>
      <c r="D2" s="2"/>
      <c r="E2" s="2"/>
      <c r="F2" s="2"/>
      <c r="G2" s="2"/>
      <c r="H2" s="2"/>
      <c r="I2" s="32"/>
      <c r="J2" s="32"/>
    </row>
    <row r="3" spans="1:10" ht="18.75" x14ac:dyDescent="0.3">
      <c r="A3" s="30"/>
      <c r="B3" s="2"/>
      <c r="C3" s="2"/>
      <c r="D3" s="2"/>
      <c r="E3" s="2"/>
      <c r="F3" s="2"/>
      <c r="G3" s="2"/>
      <c r="H3" s="2"/>
      <c r="I3" s="32"/>
      <c r="J3" s="3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  <c r="I5" s="32"/>
      <c r="J5" s="3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25">
      <c r="A8" s="32"/>
      <c r="B8" s="1" t="s">
        <v>3</v>
      </c>
      <c r="C8" s="32" t="s">
        <v>4</v>
      </c>
      <c r="D8" s="32"/>
      <c r="E8" s="32"/>
      <c r="F8" s="32"/>
      <c r="G8" s="32"/>
      <c r="H8" s="32"/>
      <c r="I8" s="32"/>
      <c r="J8" s="37"/>
    </row>
    <row r="9" spans="1:10" x14ac:dyDescent="0.25">
      <c r="A9" s="32"/>
      <c r="B9" s="33" t="s">
        <v>14</v>
      </c>
      <c r="C9" s="44">
        <v>0.09</v>
      </c>
      <c r="D9" s="32"/>
      <c r="E9" s="32"/>
      <c r="F9" s="32"/>
      <c r="G9" s="32"/>
      <c r="H9" s="32"/>
      <c r="I9" s="32"/>
      <c r="J9" s="32"/>
    </row>
    <row r="10" spans="1:10" x14ac:dyDescent="0.25">
      <c r="A10" s="32"/>
      <c r="B10" s="33" t="s">
        <v>11</v>
      </c>
      <c r="C10" s="43">
        <v>374</v>
      </c>
      <c r="D10" s="32"/>
      <c r="E10" s="32"/>
      <c r="F10" s="32"/>
      <c r="G10" s="32"/>
      <c r="H10" s="32"/>
      <c r="I10" s="32"/>
      <c r="J10" s="32"/>
    </row>
    <row r="11" spans="1:10" x14ac:dyDescent="0.25">
      <c r="A11" s="8" t="s">
        <v>4</v>
      </c>
      <c r="B11" s="33" t="s">
        <v>9</v>
      </c>
      <c r="C11" s="45">
        <v>9</v>
      </c>
      <c r="D11" s="32"/>
      <c r="E11" s="32"/>
      <c r="F11" s="32"/>
      <c r="G11" s="32"/>
      <c r="H11" s="32"/>
      <c r="I11" s="32"/>
      <c r="J11" s="32"/>
    </row>
    <row r="12" spans="1:10" x14ac:dyDescent="0.25">
      <c r="A12" s="10"/>
      <c r="B12" s="32"/>
      <c r="C12" s="32"/>
      <c r="D12" s="32"/>
      <c r="E12" s="32"/>
      <c r="F12" s="32"/>
      <c r="G12" s="32"/>
      <c r="H12" s="32"/>
      <c r="I12" s="32"/>
      <c r="J12" s="32"/>
    </row>
    <row r="13" spans="1:10" x14ac:dyDescent="0.25">
      <c r="A13" s="10"/>
      <c r="B13" s="32"/>
      <c r="C13" s="32"/>
      <c r="D13" s="32"/>
      <c r="E13" s="32"/>
      <c r="F13" s="32"/>
      <c r="G13" s="32"/>
      <c r="H13" s="32"/>
      <c r="I13" s="32"/>
      <c r="J13" s="32"/>
    </row>
    <row r="14" spans="1:10" x14ac:dyDescent="0.25">
      <c r="A14" s="10"/>
      <c r="B14" s="32"/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10"/>
      <c r="B15" s="32"/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10"/>
      <c r="B16" s="7"/>
      <c r="C16" s="11"/>
      <c r="D16" s="12"/>
      <c r="E16" s="9"/>
      <c r="F16" s="32"/>
      <c r="G16" s="32"/>
      <c r="H16" s="32"/>
      <c r="I16" s="32"/>
      <c r="J16" s="32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B18" s="32"/>
      <c r="C18" s="32"/>
      <c r="D18" s="32"/>
      <c r="E18" s="32"/>
      <c r="F18" s="32"/>
      <c r="G18" s="32"/>
      <c r="H18" s="18"/>
      <c r="I18" s="32"/>
      <c r="J18" s="32"/>
    </row>
    <row r="19" spans="1:10" x14ac:dyDescent="0.25">
      <c r="A19" s="10"/>
      <c r="B19" s="1" t="s">
        <v>5</v>
      </c>
      <c r="C19" s="32"/>
      <c r="D19" s="32"/>
      <c r="E19" s="32"/>
      <c r="F19" s="32"/>
      <c r="G19" s="32"/>
      <c r="H19" s="32"/>
      <c r="I19" s="32"/>
      <c r="J19" s="32"/>
    </row>
    <row r="20" spans="1:10" x14ac:dyDescent="0.25">
      <c r="A20" s="10"/>
      <c r="B20" s="33" t="s">
        <v>12</v>
      </c>
      <c r="C20" s="38">
        <f>C10/(1+C9)^C11</f>
        <v>172.19998953909658</v>
      </c>
      <c r="D20" s="32"/>
      <c r="E20" s="32"/>
      <c r="F20" s="32"/>
      <c r="G20" s="32"/>
      <c r="H20" s="32"/>
      <c r="I20" s="32"/>
      <c r="J20" s="32"/>
    </row>
    <row r="21" spans="1:10" x14ac:dyDescent="0.25">
      <c r="A21" s="10"/>
      <c r="B21" s="32"/>
      <c r="C21" s="32"/>
      <c r="D21" s="32"/>
      <c r="E21" s="32"/>
      <c r="F21" s="32"/>
      <c r="G21" s="32"/>
      <c r="H21" s="32"/>
      <c r="I21" s="32"/>
      <c r="J21" s="32"/>
    </row>
    <row r="22" spans="1:10" x14ac:dyDescent="0.25">
      <c r="A22" s="10"/>
      <c r="B22" s="32"/>
      <c r="C22" s="32"/>
      <c r="D22" s="32"/>
      <c r="E22" s="93"/>
      <c r="F22" s="93"/>
      <c r="G22" s="19"/>
      <c r="H22" s="32"/>
      <c r="I22" s="32"/>
      <c r="J22" s="32"/>
    </row>
    <row r="23" spans="1:10" x14ac:dyDescent="0.25">
      <c r="A23" s="10"/>
      <c r="B23" s="32"/>
      <c r="C23" s="32"/>
      <c r="D23" s="32"/>
      <c r="E23" s="32"/>
      <c r="F23" s="32"/>
      <c r="G23" s="19"/>
      <c r="H23" s="32"/>
      <c r="I23" s="32"/>
      <c r="J23" s="32"/>
    </row>
    <row r="24" spans="1:10" x14ac:dyDescent="0.25">
      <c r="A24" s="10"/>
      <c r="B24" s="32"/>
      <c r="C24" s="32"/>
      <c r="D24" s="32"/>
      <c r="E24" s="94"/>
      <c r="F24" s="94"/>
      <c r="G24" s="19"/>
      <c r="H24" s="32"/>
      <c r="I24" s="32"/>
      <c r="J24" s="32"/>
    </row>
    <row r="25" spans="1:10" x14ac:dyDescent="0.25">
      <c r="A25" s="10"/>
      <c r="B25" s="32"/>
      <c r="C25" s="32"/>
      <c r="D25" s="32"/>
      <c r="E25" s="32"/>
      <c r="F25" s="32"/>
      <c r="G25" s="19"/>
      <c r="H25" s="32"/>
      <c r="I25" s="32"/>
      <c r="J25" s="32"/>
    </row>
    <row r="26" spans="1:10" x14ac:dyDescent="0.25">
      <c r="A26" s="10"/>
      <c r="B26" s="32"/>
      <c r="C26" s="32"/>
      <c r="D26" s="32"/>
      <c r="E26" s="32"/>
      <c r="F26" s="32"/>
      <c r="G26" s="32"/>
      <c r="H26" s="32"/>
      <c r="I26" s="32"/>
      <c r="J26" s="32"/>
    </row>
    <row r="27" spans="1:10" x14ac:dyDescent="0.25">
      <c r="A27" s="10"/>
      <c r="B27" s="32"/>
      <c r="C27" s="32"/>
      <c r="D27" s="32"/>
      <c r="E27" s="32"/>
      <c r="F27" s="32"/>
      <c r="G27" s="32"/>
      <c r="H27" s="32"/>
      <c r="I27" s="32"/>
      <c r="J27" s="32"/>
    </row>
    <row r="28" spans="1:10" x14ac:dyDescent="0.25">
      <c r="A28" s="10"/>
      <c r="B28" s="32"/>
      <c r="C28" s="32"/>
      <c r="D28" s="32"/>
      <c r="E28" s="32"/>
      <c r="F28" s="32"/>
      <c r="G28" s="32"/>
      <c r="H28" s="32"/>
      <c r="I28" s="32"/>
      <c r="J28" s="32"/>
    </row>
    <row r="29" spans="1:10" x14ac:dyDescent="0.25">
      <c r="A29" s="10"/>
      <c r="B29" s="32"/>
      <c r="C29" s="32"/>
      <c r="D29" s="32"/>
      <c r="E29" s="32"/>
      <c r="F29" s="32"/>
      <c r="G29" s="32"/>
      <c r="H29" s="32"/>
      <c r="I29" s="32"/>
      <c r="J29" s="32"/>
    </row>
    <row r="30" spans="1:10" x14ac:dyDescent="0.25">
      <c r="A30" s="10"/>
      <c r="B30" s="32"/>
      <c r="C30" s="32"/>
      <c r="D30" s="32"/>
      <c r="E30" s="32"/>
      <c r="F30" s="32"/>
      <c r="G30" s="32"/>
      <c r="H30" s="32"/>
      <c r="I30" s="32"/>
      <c r="J30" s="32"/>
    </row>
    <row r="31" spans="1:10" x14ac:dyDescent="0.25">
      <c r="A31" s="10"/>
      <c r="B31" s="20"/>
      <c r="C31" s="21"/>
      <c r="D31" s="32"/>
      <c r="E31" s="32"/>
      <c r="F31" s="32"/>
      <c r="G31" s="32"/>
      <c r="H31" s="32"/>
      <c r="I31" s="32"/>
      <c r="J31" s="32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  <c r="D33" s="32"/>
      <c r="E33" s="32"/>
      <c r="F33" s="32"/>
      <c r="G33" s="32"/>
      <c r="H33" s="32"/>
      <c r="I33" s="32"/>
      <c r="J33" s="32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</sheetData>
  <mergeCells count="2">
    <mergeCell ref="E22:F22"/>
    <mergeCell ref="E24:F2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C12" sqref="C12"/>
    </sheetView>
  </sheetViews>
  <sheetFormatPr defaultRowHeight="15" x14ac:dyDescent="0.25"/>
  <cols>
    <col min="1" max="1" width="10" style="54" customWidth="1"/>
    <col min="2" max="2" width="38.140625" style="54" customWidth="1"/>
    <col min="3" max="3" width="13.85546875" style="54" bestFit="1" customWidth="1"/>
    <col min="4" max="16384" width="9.140625" style="54"/>
  </cols>
  <sheetData>
    <row r="1" spans="1:10" s="1" customFormat="1" x14ac:dyDescent="0.25">
      <c r="A1" s="1" t="s">
        <v>64</v>
      </c>
    </row>
    <row r="2" spans="1:10" ht="18.75" x14ac:dyDescent="0.3">
      <c r="A2" s="30" t="s">
        <v>162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54" t="s">
        <v>4</v>
      </c>
    </row>
    <row r="9" spans="1:10" x14ac:dyDescent="0.25">
      <c r="B9" s="40" t="s">
        <v>241</v>
      </c>
      <c r="C9" s="77">
        <v>5.5E-2</v>
      </c>
    </row>
    <row r="10" spans="1:10" x14ac:dyDescent="0.25">
      <c r="B10" s="54" t="s">
        <v>242</v>
      </c>
      <c r="C10" s="45">
        <v>12</v>
      </c>
    </row>
    <row r="11" spans="1:10" x14ac:dyDescent="0.25">
      <c r="A11" s="8" t="s">
        <v>4</v>
      </c>
      <c r="B11" s="54" t="s">
        <v>245</v>
      </c>
      <c r="C11" s="43">
        <v>50000</v>
      </c>
    </row>
    <row r="12" spans="1:10" x14ac:dyDescent="0.25">
      <c r="A12" s="10"/>
      <c r="B12" s="54" t="s">
        <v>4</v>
      </c>
      <c r="C12" s="54" t="s">
        <v>4</v>
      </c>
    </row>
    <row r="13" spans="1:10" x14ac:dyDescent="0.25">
      <c r="A13" s="10"/>
    </row>
    <row r="14" spans="1:10" x14ac:dyDescent="0.25">
      <c r="A14" s="10"/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B20" s="1" t="s">
        <v>36</v>
      </c>
    </row>
    <row r="21" spans="1:10" x14ac:dyDescent="0.25">
      <c r="A21" s="10"/>
      <c r="B21" s="54" t="s">
        <v>40</v>
      </c>
      <c r="C21" s="38">
        <f>C11*((1/C9)-(1/(C9*(1+C9)^C10)))</f>
        <v>430925.89243678097</v>
      </c>
    </row>
    <row r="22" spans="1:10" x14ac:dyDescent="0.25">
      <c r="A22" s="10"/>
      <c r="C22" s="38"/>
      <c r="E22" s="93"/>
      <c r="F22" s="93"/>
      <c r="G22" s="19"/>
    </row>
    <row r="23" spans="1:10" x14ac:dyDescent="0.25">
      <c r="A23" s="10"/>
      <c r="B23" s="1" t="s">
        <v>37</v>
      </c>
      <c r="C23" s="38"/>
      <c r="G23" s="19"/>
    </row>
    <row r="24" spans="1:10" x14ac:dyDescent="0.25">
      <c r="A24" s="10"/>
      <c r="B24" s="40" t="s">
        <v>40</v>
      </c>
      <c r="C24" s="38">
        <f>C21*(1+((1+C9)^0.5)-1)</f>
        <v>442617.74324457464</v>
      </c>
      <c r="E24" s="94"/>
      <c r="F24" s="94"/>
      <c r="G24" s="19"/>
    </row>
    <row r="25" spans="1:10" x14ac:dyDescent="0.25">
      <c r="A25" s="10"/>
      <c r="C25" s="35"/>
      <c r="G25" s="19"/>
    </row>
    <row r="26" spans="1:10" x14ac:dyDescent="0.25">
      <c r="A26" s="10"/>
      <c r="C26" s="35"/>
    </row>
    <row r="27" spans="1:10" x14ac:dyDescent="0.25">
      <c r="A27" s="10"/>
    </row>
    <row r="28" spans="1:10" x14ac:dyDescent="0.25">
      <c r="A28" s="10"/>
    </row>
    <row r="29" spans="1:10" x14ac:dyDescent="0.25">
      <c r="A29" s="10"/>
    </row>
    <row r="30" spans="1:10" x14ac:dyDescent="0.25">
      <c r="A30" s="10"/>
    </row>
    <row r="31" spans="1:10" x14ac:dyDescent="0.25">
      <c r="A31" s="10"/>
      <c r="B31" s="20"/>
      <c r="C31" s="21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  <row r="35" spans="1:10" x14ac:dyDescent="0.25">
      <c r="B35" s="54" t="s">
        <v>243</v>
      </c>
    </row>
    <row r="36" spans="1:10" x14ac:dyDescent="0.25">
      <c r="B36" s="54" t="s">
        <v>244</v>
      </c>
    </row>
  </sheetData>
  <mergeCells count="2">
    <mergeCell ref="E22:F22"/>
    <mergeCell ref="E24:F2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C14" sqref="C14"/>
    </sheetView>
  </sheetViews>
  <sheetFormatPr defaultRowHeight="15" x14ac:dyDescent="0.25"/>
  <cols>
    <col min="1" max="1" width="10" style="54" customWidth="1"/>
    <col min="2" max="2" width="45" style="54" customWidth="1"/>
    <col min="3" max="3" width="15.42578125" style="54" customWidth="1"/>
    <col min="4" max="4" width="22.7109375" style="54" customWidth="1"/>
    <col min="5" max="16384" width="9.140625" style="54"/>
  </cols>
  <sheetData>
    <row r="1" spans="1:10" s="1" customFormat="1" x14ac:dyDescent="0.25">
      <c r="A1" s="1" t="s">
        <v>64</v>
      </c>
    </row>
    <row r="2" spans="1:10" ht="18.75" x14ac:dyDescent="0.3">
      <c r="A2" s="30" t="s">
        <v>163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54" t="s">
        <v>4</v>
      </c>
    </row>
    <row r="9" spans="1:10" x14ac:dyDescent="0.25">
      <c r="B9" s="40" t="s">
        <v>246</v>
      </c>
      <c r="C9" s="31">
        <v>3</v>
      </c>
    </row>
    <row r="10" spans="1:10" x14ac:dyDescent="0.25">
      <c r="B10" s="54" t="s">
        <v>247</v>
      </c>
      <c r="C10" s="43">
        <v>7500</v>
      </c>
    </row>
    <row r="11" spans="1:10" x14ac:dyDescent="0.25">
      <c r="A11" s="8" t="s">
        <v>4</v>
      </c>
      <c r="B11" s="54" t="s">
        <v>248</v>
      </c>
      <c r="C11" s="43">
        <v>1500</v>
      </c>
    </row>
    <row r="12" spans="1:10" x14ac:dyDescent="0.25">
      <c r="A12" s="10"/>
      <c r="B12" s="54" t="s">
        <v>249</v>
      </c>
      <c r="C12" s="43">
        <v>15000</v>
      </c>
    </row>
    <row r="13" spans="1:10" x14ac:dyDescent="0.25">
      <c r="A13" s="10"/>
      <c r="B13" s="54" t="s">
        <v>251</v>
      </c>
      <c r="C13" s="43">
        <v>1000000</v>
      </c>
    </row>
    <row r="14" spans="1:10" x14ac:dyDescent="0.25">
      <c r="A14" s="10"/>
      <c r="B14" s="54" t="s">
        <v>250</v>
      </c>
      <c r="C14" s="77">
        <v>3.5000000000000003E-2</v>
      </c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B20" s="40" t="s">
        <v>252</v>
      </c>
      <c r="C20" s="36">
        <f>C13*(1+C14)^C9</f>
        <v>1108717.8749999998</v>
      </c>
    </row>
    <row r="21" spans="1:10" x14ac:dyDescent="0.25">
      <c r="A21" s="10"/>
      <c r="B21" s="54" t="s">
        <v>253</v>
      </c>
      <c r="C21" s="36">
        <f>12*(C12-C11-C10)</f>
        <v>72000</v>
      </c>
    </row>
    <row r="22" spans="1:10" x14ac:dyDescent="0.25">
      <c r="A22" s="10"/>
      <c r="B22" s="54" t="s">
        <v>254</v>
      </c>
      <c r="C22" s="80">
        <f>LN(-(1/((C20/(C21*(1+C14))*C14)-1)))/LN(1+C14)</f>
        <v>21.379935797596605</v>
      </c>
      <c r="D22" s="81" t="s">
        <v>4</v>
      </c>
    </row>
    <row r="23" spans="1:10" x14ac:dyDescent="0.25">
      <c r="A23" s="10"/>
    </row>
    <row r="24" spans="1:10" x14ac:dyDescent="0.25">
      <c r="A24" s="10"/>
    </row>
    <row r="25" spans="1:10" x14ac:dyDescent="0.25">
      <c r="A25" s="10"/>
    </row>
    <row r="26" spans="1:10" x14ac:dyDescent="0.25">
      <c r="A26" s="10"/>
    </row>
    <row r="27" spans="1:10" x14ac:dyDescent="0.25">
      <c r="A27" s="10"/>
      <c r="B27" s="20"/>
      <c r="C27" s="21"/>
    </row>
    <row r="28" spans="1:10" x14ac:dyDescent="0.25">
      <c r="A28" s="13"/>
      <c r="B28" s="22"/>
      <c r="C28" s="23"/>
      <c r="D28" s="17"/>
      <c r="E28" s="17"/>
      <c r="F28" s="17"/>
      <c r="G28" s="17"/>
      <c r="H28" s="17"/>
      <c r="I28" s="17"/>
      <c r="J28" s="17"/>
    </row>
    <row r="29" spans="1:10" x14ac:dyDescent="0.25">
      <c r="A29" s="10"/>
      <c r="B29" s="20"/>
      <c r="C29" s="24"/>
    </row>
    <row r="30" spans="1:10" x14ac:dyDescent="0.25">
      <c r="A30" s="6"/>
      <c r="B30" s="25" t="s">
        <v>6</v>
      </c>
      <c r="C30" s="6"/>
      <c r="D30" s="6"/>
      <c r="E30" s="6"/>
      <c r="F30" s="6"/>
      <c r="G30" s="6"/>
      <c r="H30" s="6"/>
      <c r="I30" s="6"/>
      <c r="J30" s="6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15" sqref="C15"/>
    </sheetView>
  </sheetViews>
  <sheetFormatPr defaultRowHeight="15" x14ac:dyDescent="0.25"/>
  <cols>
    <col min="1" max="1" width="10" style="54" customWidth="1"/>
    <col min="2" max="2" width="38.140625" style="54" customWidth="1"/>
    <col min="3" max="3" width="13.85546875" style="54" bestFit="1" customWidth="1"/>
    <col min="4" max="16384" width="9.140625" style="54"/>
  </cols>
  <sheetData>
    <row r="1" spans="1:10" s="1" customFormat="1" x14ac:dyDescent="0.25">
      <c r="A1" s="1" t="s">
        <v>64</v>
      </c>
    </row>
    <row r="2" spans="1:10" ht="18.75" x14ac:dyDescent="0.3">
      <c r="A2" s="30" t="s">
        <v>164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54" t="s">
        <v>4</v>
      </c>
    </row>
    <row r="9" spans="1:10" x14ac:dyDescent="0.25">
      <c r="B9" s="40" t="s">
        <v>16</v>
      </c>
      <c r="C9" s="43">
        <v>2000000</v>
      </c>
    </row>
    <row r="10" spans="1:10" x14ac:dyDescent="0.25">
      <c r="B10" s="54" t="s">
        <v>111</v>
      </c>
      <c r="C10" s="50">
        <v>0.12</v>
      </c>
    </row>
    <row r="11" spans="1:10" x14ac:dyDescent="0.25">
      <c r="A11" s="8" t="s">
        <v>4</v>
      </c>
      <c r="B11" s="54" t="s">
        <v>55</v>
      </c>
      <c r="C11" s="31">
        <v>20</v>
      </c>
    </row>
    <row r="12" spans="1:10" x14ac:dyDescent="0.25">
      <c r="A12" s="10"/>
      <c r="B12" s="54" t="s">
        <v>255</v>
      </c>
      <c r="C12" s="50">
        <v>0.03</v>
      </c>
    </row>
    <row r="13" spans="1:10" x14ac:dyDescent="0.25">
      <c r="A13" s="10"/>
      <c r="B13" s="54" t="s">
        <v>86</v>
      </c>
      <c r="C13" s="31">
        <v>20</v>
      </c>
    </row>
    <row r="14" spans="1:10" x14ac:dyDescent="0.25">
      <c r="A14" s="10"/>
      <c r="B14" s="54" t="s">
        <v>34</v>
      </c>
      <c r="C14" s="92">
        <f>C12</f>
        <v>0.03</v>
      </c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B20" s="1" t="s">
        <v>36</v>
      </c>
    </row>
    <row r="21" spans="1:10" x14ac:dyDescent="0.25">
      <c r="A21" s="10"/>
      <c r="B21" s="54" t="s">
        <v>40</v>
      </c>
      <c r="C21" s="41">
        <f>C9/C10</f>
        <v>16666666.666666668</v>
      </c>
    </row>
    <row r="22" spans="1:10" x14ac:dyDescent="0.25">
      <c r="A22" s="10"/>
      <c r="C22" s="42"/>
      <c r="E22" s="93"/>
      <c r="F22" s="93"/>
      <c r="G22" s="19"/>
    </row>
    <row r="23" spans="1:10" x14ac:dyDescent="0.25">
      <c r="A23" s="10"/>
      <c r="B23" s="1" t="s">
        <v>37</v>
      </c>
      <c r="C23" s="42"/>
      <c r="G23" s="19"/>
    </row>
    <row r="24" spans="1:10" x14ac:dyDescent="0.25">
      <c r="A24" s="10"/>
      <c r="B24" s="54" t="s">
        <v>40</v>
      </c>
      <c r="C24" s="41">
        <f>C9*((1/C10)-(1/(C10*(1+C10)^C11)))</f>
        <v>14938887.248655196</v>
      </c>
      <c r="E24" s="94"/>
      <c r="F24" s="94"/>
      <c r="G24" s="19"/>
    </row>
    <row r="25" spans="1:10" x14ac:dyDescent="0.25">
      <c r="A25" s="10"/>
      <c r="C25" s="42"/>
      <c r="G25" s="19"/>
    </row>
    <row r="26" spans="1:10" x14ac:dyDescent="0.25">
      <c r="A26" s="10"/>
      <c r="B26" s="1" t="s">
        <v>256</v>
      </c>
      <c r="C26" s="42"/>
    </row>
    <row r="27" spans="1:10" x14ac:dyDescent="0.25">
      <c r="A27" s="10"/>
      <c r="B27" s="54" t="s">
        <v>40</v>
      </c>
      <c r="C27" s="41">
        <f>C9/(C10-C14)</f>
        <v>22222222.222222224</v>
      </c>
    </row>
    <row r="28" spans="1:10" x14ac:dyDescent="0.25">
      <c r="A28" s="10"/>
      <c r="C28" s="42"/>
    </row>
    <row r="29" spans="1:10" x14ac:dyDescent="0.25">
      <c r="A29" s="10"/>
      <c r="B29" s="1" t="s">
        <v>41</v>
      </c>
      <c r="C29" s="42"/>
    </row>
    <row r="30" spans="1:10" x14ac:dyDescent="0.25">
      <c r="A30" s="10"/>
      <c r="B30" s="54" t="s">
        <v>40</v>
      </c>
      <c r="C30" s="41">
        <f>C9*(1/(C10-C14))*(1-((1+C14)^C13)/(1+C10)^C13)</f>
        <v>18061473.131687421</v>
      </c>
    </row>
    <row r="31" spans="1:10" x14ac:dyDescent="0.25">
      <c r="A31" s="10"/>
      <c r="B31" s="20"/>
      <c r="C31" s="21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</sheetData>
  <mergeCells count="2">
    <mergeCell ref="E22:F22"/>
    <mergeCell ref="E24:F2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C27" sqref="C27"/>
    </sheetView>
  </sheetViews>
  <sheetFormatPr defaultRowHeight="15" x14ac:dyDescent="0.25"/>
  <cols>
    <col min="1" max="1" width="10" style="54" customWidth="1"/>
    <col min="2" max="2" width="38.140625" style="54" customWidth="1"/>
    <col min="3" max="3" width="14.28515625" style="54" customWidth="1"/>
    <col min="4" max="7" width="9.140625" style="54"/>
    <col min="8" max="8" width="14.42578125" style="54" customWidth="1"/>
    <col min="9" max="9" width="13.28515625" style="54" customWidth="1"/>
    <col min="10" max="10" width="12.7109375" style="54" customWidth="1"/>
    <col min="11" max="11" width="12.5703125" style="54" customWidth="1"/>
    <col min="12" max="12" width="11.140625" style="54" bestFit="1" customWidth="1"/>
    <col min="13" max="13" width="15.28515625" style="54" customWidth="1"/>
    <col min="14" max="14" width="12.5703125" style="54" customWidth="1"/>
    <col min="15" max="15" width="13.7109375" style="54" customWidth="1"/>
    <col min="16" max="16" width="14.140625" style="54" customWidth="1"/>
    <col min="17" max="16384" width="9.140625" style="54"/>
  </cols>
  <sheetData>
    <row r="1" spans="1:10" s="1" customFormat="1" x14ac:dyDescent="0.25">
      <c r="A1" s="1" t="s">
        <v>64</v>
      </c>
    </row>
    <row r="2" spans="1:10" ht="18.75" x14ac:dyDescent="0.3">
      <c r="A2" s="30" t="s">
        <v>165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54" t="s">
        <v>4</v>
      </c>
    </row>
    <row r="9" spans="1:10" x14ac:dyDescent="0.25">
      <c r="B9" s="40" t="s">
        <v>257</v>
      </c>
      <c r="C9" s="43">
        <v>200000</v>
      </c>
    </row>
    <row r="10" spans="1:10" x14ac:dyDescent="0.25">
      <c r="B10" s="54" t="s">
        <v>175</v>
      </c>
      <c r="C10" s="45">
        <v>20</v>
      </c>
    </row>
    <row r="11" spans="1:10" x14ac:dyDescent="0.25">
      <c r="A11" s="8" t="s">
        <v>4</v>
      </c>
      <c r="B11" s="54" t="s">
        <v>8</v>
      </c>
      <c r="C11" s="44">
        <v>0.06</v>
      </c>
    </row>
    <row r="12" spans="1:10" x14ac:dyDescent="0.25">
      <c r="A12" s="10"/>
      <c r="B12" s="54" t="s">
        <v>86</v>
      </c>
      <c r="C12" s="45">
        <v>10</v>
      </c>
    </row>
    <row r="13" spans="1:10" x14ac:dyDescent="0.25">
      <c r="A13" s="10"/>
    </row>
    <row r="14" spans="1:10" x14ac:dyDescent="0.25">
      <c r="A14" s="10"/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2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2" x14ac:dyDescent="0.25">
      <c r="A18" s="10"/>
      <c r="H18" s="18"/>
    </row>
    <row r="19" spans="1:12" x14ac:dyDescent="0.25">
      <c r="A19" s="10"/>
      <c r="B19" s="1" t="s">
        <v>5</v>
      </c>
      <c r="H19" s="54" t="s">
        <v>264</v>
      </c>
    </row>
    <row r="20" spans="1:12" x14ac:dyDescent="0.25">
      <c r="A20" s="10"/>
      <c r="B20" s="1" t="s">
        <v>36</v>
      </c>
      <c r="H20" s="36">
        <f>C9</f>
        <v>200000</v>
      </c>
      <c r="I20" s="35">
        <f>H20*C11</f>
        <v>12000</v>
      </c>
      <c r="J20" s="35">
        <f t="shared" ref="J20:J39" si="0">C$21</f>
        <v>17436.91139537028</v>
      </c>
      <c r="K20" s="35">
        <f t="shared" ref="K20:K39" si="1">J20-I20</f>
        <v>5436.9113953702799</v>
      </c>
      <c r="L20" s="35">
        <f t="shared" ref="L20:L39" si="2">H20-K20</f>
        <v>194563.08860462971</v>
      </c>
    </row>
    <row r="21" spans="1:12" x14ac:dyDescent="0.25">
      <c r="A21" s="10"/>
      <c r="B21" s="54" t="s">
        <v>258</v>
      </c>
      <c r="C21" s="38">
        <f>C9/((1/C11)-(1/(C11*(1+C11)^C10)))</f>
        <v>17436.91139537028</v>
      </c>
      <c r="H21" s="83">
        <f t="shared" ref="H21:H39" si="3">L20</f>
        <v>194563.08860462971</v>
      </c>
      <c r="I21" s="83">
        <f t="shared" ref="I21:I39" si="4">H21*C$11</f>
        <v>11673.785316277783</v>
      </c>
      <c r="J21" s="83">
        <f t="shared" si="0"/>
        <v>17436.91139537028</v>
      </c>
      <c r="K21" s="83">
        <f t="shared" si="1"/>
        <v>5763.1260790924971</v>
      </c>
      <c r="L21" s="83">
        <f t="shared" si="2"/>
        <v>188799.96252553721</v>
      </c>
    </row>
    <row r="22" spans="1:12" x14ac:dyDescent="0.25">
      <c r="A22" s="10"/>
      <c r="E22" s="93"/>
      <c r="F22" s="93"/>
      <c r="G22" s="19"/>
      <c r="H22" s="83">
        <f t="shared" si="3"/>
        <v>188799.96252553721</v>
      </c>
      <c r="I22" s="83">
        <f t="shared" si="4"/>
        <v>11327.997751532232</v>
      </c>
      <c r="J22" s="83">
        <f t="shared" si="0"/>
        <v>17436.91139537028</v>
      </c>
      <c r="K22" s="83">
        <f t="shared" si="1"/>
        <v>6108.9136438380483</v>
      </c>
      <c r="L22" s="83">
        <f t="shared" si="2"/>
        <v>182691.04888169916</v>
      </c>
    </row>
    <row r="23" spans="1:12" x14ac:dyDescent="0.25">
      <c r="A23" s="10"/>
      <c r="B23" s="1" t="s">
        <v>37</v>
      </c>
      <c r="G23" s="19"/>
      <c r="H23" s="83">
        <f t="shared" si="3"/>
        <v>182691.04888169916</v>
      </c>
      <c r="I23" s="83">
        <f t="shared" si="4"/>
        <v>10961.462932901948</v>
      </c>
      <c r="J23" s="83">
        <f t="shared" si="0"/>
        <v>17436.91139537028</v>
      </c>
      <c r="K23" s="83">
        <f t="shared" si="1"/>
        <v>6475.4484624683319</v>
      </c>
      <c r="L23" s="83">
        <f t="shared" si="2"/>
        <v>176215.60041923082</v>
      </c>
    </row>
    <row r="24" spans="1:12" x14ac:dyDescent="0.25">
      <c r="A24" s="10"/>
      <c r="B24" s="54" t="s">
        <v>259</v>
      </c>
      <c r="C24" s="59">
        <f>(C9*C11)/C21</f>
        <v>0.68819527311391582</v>
      </c>
      <c r="E24" s="94"/>
      <c r="F24" s="94"/>
      <c r="G24" s="19"/>
      <c r="H24" s="83">
        <f t="shared" si="3"/>
        <v>176215.60041923082</v>
      </c>
      <c r="I24" s="83">
        <f t="shared" si="4"/>
        <v>10572.936025153849</v>
      </c>
      <c r="J24" s="83">
        <f t="shared" si="0"/>
        <v>17436.91139537028</v>
      </c>
      <c r="K24" s="83">
        <f t="shared" si="1"/>
        <v>6863.9753702164307</v>
      </c>
      <c r="L24" s="83">
        <f t="shared" si="2"/>
        <v>169351.6250490144</v>
      </c>
    </row>
    <row r="25" spans="1:12" x14ac:dyDescent="0.25">
      <c r="A25" s="10"/>
      <c r="C25" s="82"/>
      <c r="G25" s="19"/>
      <c r="H25" s="83">
        <f t="shared" si="3"/>
        <v>169351.6250490144</v>
      </c>
      <c r="I25" s="83">
        <f t="shared" si="4"/>
        <v>10161.097502940864</v>
      </c>
      <c r="J25" s="83">
        <f t="shared" si="0"/>
        <v>17436.91139537028</v>
      </c>
      <c r="K25" s="83">
        <f t="shared" si="1"/>
        <v>7275.8138924294162</v>
      </c>
      <c r="L25" s="83">
        <f t="shared" si="2"/>
        <v>162075.811156585</v>
      </c>
    </row>
    <row r="26" spans="1:12" x14ac:dyDescent="0.25">
      <c r="A26" s="10"/>
      <c r="B26" s="1" t="s">
        <v>39</v>
      </c>
      <c r="C26" s="42"/>
      <c r="H26" s="83">
        <f t="shared" si="3"/>
        <v>162075.811156585</v>
      </c>
      <c r="I26" s="83">
        <f t="shared" si="4"/>
        <v>9724.5486693950988</v>
      </c>
      <c r="J26" s="83">
        <f t="shared" si="0"/>
        <v>17436.91139537028</v>
      </c>
      <c r="K26" s="83">
        <f t="shared" si="1"/>
        <v>7712.3627259751811</v>
      </c>
      <c r="L26" s="83">
        <f t="shared" si="2"/>
        <v>154363.44843060983</v>
      </c>
    </row>
    <row r="27" spans="1:12" x14ac:dyDescent="0.25">
      <c r="A27" s="10"/>
      <c r="B27" s="54" t="s">
        <v>260</v>
      </c>
      <c r="C27" s="59">
        <f>1-(C21/(1+C11)/C21)</f>
        <v>5.6603773584905759E-2</v>
      </c>
      <c r="D27" s="54" t="s">
        <v>4</v>
      </c>
      <c r="E27" s="54" t="s">
        <v>4</v>
      </c>
      <c r="H27" s="83">
        <f t="shared" si="3"/>
        <v>154363.44843060983</v>
      </c>
      <c r="I27" s="83">
        <f t="shared" si="4"/>
        <v>9261.8069058365891</v>
      </c>
      <c r="J27" s="83">
        <f t="shared" si="0"/>
        <v>17436.91139537028</v>
      </c>
      <c r="K27" s="83">
        <f t="shared" si="1"/>
        <v>8175.1044895336909</v>
      </c>
      <c r="L27" s="83">
        <f t="shared" si="2"/>
        <v>146188.34394107613</v>
      </c>
    </row>
    <row r="28" spans="1:12" x14ac:dyDescent="0.25">
      <c r="A28" s="10"/>
      <c r="C28" s="42"/>
      <c r="H28" s="83">
        <f t="shared" si="3"/>
        <v>146188.34394107613</v>
      </c>
      <c r="I28" s="83">
        <f t="shared" si="4"/>
        <v>8771.300636464568</v>
      </c>
      <c r="J28" s="83">
        <f t="shared" si="0"/>
        <v>17436.91139537028</v>
      </c>
      <c r="K28" s="83">
        <f t="shared" si="1"/>
        <v>8665.6107589057119</v>
      </c>
      <c r="L28" s="83">
        <f t="shared" si="2"/>
        <v>137522.73318217043</v>
      </c>
    </row>
    <row r="29" spans="1:12" x14ac:dyDescent="0.25">
      <c r="A29" s="10"/>
      <c r="B29" s="1" t="s">
        <v>41</v>
      </c>
      <c r="C29" s="42"/>
      <c r="H29" s="83">
        <f t="shared" si="3"/>
        <v>137522.73318217043</v>
      </c>
      <c r="I29" s="83">
        <f t="shared" si="4"/>
        <v>8251.3639909302256</v>
      </c>
      <c r="J29" s="83">
        <f t="shared" si="0"/>
        <v>17436.91139537028</v>
      </c>
      <c r="K29" s="83">
        <f t="shared" si="1"/>
        <v>9185.5474044400544</v>
      </c>
      <c r="L29" s="83">
        <f t="shared" si="2"/>
        <v>128337.18577773037</v>
      </c>
    </row>
    <row r="30" spans="1:12" x14ac:dyDescent="0.25">
      <c r="A30" s="10"/>
      <c r="B30" s="54" t="s">
        <v>261</v>
      </c>
      <c r="C30" s="38">
        <f>C21*((1/C11)-(1/(C11*(1+C11)^C12)))</f>
        <v>128337.18577773026</v>
      </c>
      <c r="H30" s="83">
        <f t="shared" si="3"/>
        <v>128337.18577773037</v>
      </c>
      <c r="I30" s="83">
        <f t="shared" si="4"/>
        <v>7700.2311466638221</v>
      </c>
      <c r="J30" s="83">
        <f t="shared" si="0"/>
        <v>17436.91139537028</v>
      </c>
      <c r="K30" s="83">
        <f t="shared" si="1"/>
        <v>9736.6802487064579</v>
      </c>
      <c r="L30" s="83">
        <f t="shared" si="2"/>
        <v>118600.50552902391</v>
      </c>
    </row>
    <row r="31" spans="1:12" s="79" customFormat="1" x14ac:dyDescent="0.25">
      <c r="A31" s="10"/>
      <c r="B31" s="79" t="s">
        <v>262</v>
      </c>
      <c r="C31" s="59">
        <f>(C9-C30)/C9</f>
        <v>0.35831407111134866</v>
      </c>
      <c r="H31" s="83">
        <f t="shared" si="3"/>
        <v>118600.50552902391</v>
      </c>
      <c r="I31" s="83">
        <f t="shared" si="4"/>
        <v>7116.0303317414346</v>
      </c>
      <c r="J31" s="83">
        <f t="shared" si="0"/>
        <v>17436.91139537028</v>
      </c>
      <c r="K31" s="83">
        <f t="shared" si="1"/>
        <v>10320.881063628845</v>
      </c>
      <c r="L31" s="83">
        <f t="shared" si="2"/>
        <v>108279.62446539507</v>
      </c>
    </row>
    <row r="32" spans="1:12" x14ac:dyDescent="0.25">
      <c r="A32" s="10"/>
      <c r="B32" s="20"/>
      <c r="C32" s="21"/>
      <c r="H32" s="83">
        <f t="shared" si="3"/>
        <v>108279.62446539507</v>
      </c>
      <c r="I32" s="83">
        <f t="shared" si="4"/>
        <v>6496.7774679237036</v>
      </c>
      <c r="J32" s="83">
        <f t="shared" si="0"/>
        <v>17436.91139537028</v>
      </c>
      <c r="K32" s="83">
        <f t="shared" si="1"/>
        <v>10940.133927446575</v>
      </c>
      <c r="L32" s="83">
        <f t="shared" si="2"/>
        <v>97339.490537948499</v>
      </c>
    </row>
    <row r="33" spans="1:16" x14ac:dyDescent="0.25">
      <c r="A33" s="13"/>
      <c r="B33" s="22"/>
      <c r="C33" s="23"/>
      <c r="D33" s="17"/>
      <c r="E33" s="17"/>
      <c r="F33" s="17"/>
      <c r="G33" s="17"/>
      <c r="H33" s="83">
        <f t="shared" si="3"/>
        <v>97339.490537948499</v>
      </c>
      <c r="I33" s="83">
        <f t="shared" si="4"/>
        <v>5840.3694322769097</v>
      </c>
      <c r="J33" s="83">
        <f t="shared" si="0"/>
        <v>17436.91139537028</v>
      </c>
      <c r="K33" s="83">
        <f t="shared" si="1"/>
        <v>11596.54196309337</v>
      </c>
      <c r="L33" s="83">
        <f t="shared" si="2"/>
        <v>85742.948574855123</v>
      </c>
    </row>
    <row r="34" spans="1:16" x14ac:dyDescent="0.25">
      <c r="A34" s="10"/>
      <c r="B34" s="20"/>
      <c r="C34" s="24"/>
      <c r="H34" s="83">
        <f t="shared" si="3"/>
        <v>85742.948574855123</v>
      </c>
      <c r="I34" s="83">
        <f t="shared" si="4"/>
        <v>5144.5769144913074</v>
      </c>
      <c r="J34" s="83">
        <f t="shared" si="0"/>
        <v>17436.91139537028</v>
      </c>
      <c r="K34" s="83">
        <f t="shared" si="1"/>
        <v>12292.334480878973</v>
      </c>
      <c r="L34" s="83">
        <f t="shared" si="2"/>
        <v>73450.614093976154</v>
      </c>
    </row>
    <row r="35" spans="1:16" x14ac:dyDescent="0.25">
      <c r="A35" s="6"/>
      <c r="B35" s="25" t="s">
        <v>6</v>
      </c>
      <c r="C35" s="6"/>
      <c r="D35" s="6"/>
      <c r="E35" s="6"/>
      <c r="F35" s="6"/>
      <c r="G35" s="6"/>
      <c r="H35" s="83">
        <f t="shared" si="3"/>
        <v>73450.614093976154</v>
      </c>
      <c r="I35" s="83">
        <f t="shared" si="4"/>
        <v>4407.0368456385695</v>
      </c>
      <c r="J35" s="83">
        <f t="shared" si="0"/>
        <v>17436.91139537028</v>
      </c>
      <c r="K35" s="83">
        <f t="shared" si="1"/>
        <v>13029.87454973171</v>
      </c>
      <c r="L35" s="83">
        <f t="shared" si="2"/>
        <v>60420.739544244439</v>
      </c>
    </row>
    <row r="36" spans="1:16" x14ac:dyDescent="0.25">
      <c r="B36" s="54" t="s">
        <v>263</v>
      </c>
      <c r="H36" s="83">
        <f t="shared" si="3"/>
        <v>60420.739544244439</v>
      </c>
      <c r="I36" s="83">
        <f t="shared" si="4"/>
        <v>3625.2443726546662</v>
      </c>
      <c r="J36" s="83">
        <f t="shared" si="0"/>
        <v>17436.91139537028</v>
      </c>
      <c r="K36" s="83">
        <f t="shared" si="1"/>
        <v>13811.667022715614</v>
      </c>
      <c r="L36" s="83">
        <f t="shared" si="2"/>
        <v>46609.072521528826</v>
      </c>
    </row>
    <row r="37" spans="1:16" x14ac:dyDescent="0.25">
      <c r="H37" s="83">
        <f t="shared" si="3"/>
        <v>46609.072521528826</v>
      </c>
      <c r="I37" s="83">
        <f t="shared" si="4"/>
        <v>2796.5443512917295</v>
      </c>
      <c r="J37" s="83">
        <f t="shared" si="0"/>
        <v>17436.91139537028</v>
      </c>
      <c r="K37" s="83">
        <f t="shared" si="1"/>
        <v>14640.36704407855</v>
      </c>
      <c r="L37" s="83">
        <f t="shared" si="2"/>
        <v>31968.705477450276</v>
      </c>
    </row>
    <row r="38" spans="1:16" x14ac:dyDescent="0.25">
      <c r="H38" s="83">
        <f t="shared" si="3"/>
        <v>31968.705477450276</v>
      </c>
      <c r="I38" s="83">
        <f t="shared" si="4"/>
        <v>1918.1223286470165</v>
      </c>
      <c r="J38" s="83">
        <f t="shared" si="0"/>
        <v>17436.91139537028</v>
      </c>
      <c r="K38" s="83">
        <f t="shared" si="1"/>
        <v>15518.789066723264</v>
      </c>
      <c r="L38" s="83">
        <f t="shared" si="2"/>
        <v>16449.916410727012</v>
      </c>
    </row>
    <row r="39" spans="1:16" x14ac:dyDescent="0.25">
      <c r="H39" s="35">
        <f t="shared" si="3"/>
        <v>16449.916410727012</v>
      </c>
      <c r="I39" s="35">
        <f t="shared" si="4"/>
        <v>986.99498464362068</v>
      </c>
      <c r="J39" s="35">
        <f t="shared" si="0"/>
        <v>17436.91139537028</v>
      </c>
      <c r="K39" s="35">
        <f t="shared" si="1"/>
        <v>16449.916410726659</v>
      </c>
      <c r="L39" s="35">
        <f t="shared" si="2"/>
        <v>3.5288394428789616E-10</v>
      </c>
      <c r="M39"/>
      <c r="N39"/>
      <c r="O39"/>
      <c r="P39"/>
    </row>
    <row r="40" spans="1:16" x14ac:dyDescent="0.25">
      <c r="L40"/>
      <c r="M40"/>
      <c r="N40"/>
      <c r="O40"/>
      <c r="P40"/>
    </row>
    <row r="41" spans="1:16" x14ac:dyDescent="0.25">
      <c r="L41"/>
      <c r="M41"/>
      <c r="N41"/>
      <c r="O41"/>
      <c r="P41"/>
    </row>
    <row r="42" spans="1:16" x14ac:dyDescent="0.25">
      <c r="L42"/>
      <c r="M42"/>
      <c r="N42"/>
      <c r="O42"/>
      <c r="P42"/>
    </row>
    <row r="43" spans="1:16" x14ac:dyDescent="0.25">
      <c r="L43"/>
      <c r="M43"/>
      <c r="N43"/>
      <c r="O43"/>
      <c r="P43"/>
    </row>
    <row r="44" spans="1:16" x14ac:dyDescent="0.25">
      <c r="L44"/>
      <c r="M44"/>
      <c r="N44"/>
      <c r="O44"/>
      <c r="P44"/>
    </row>
    <row r="45" spans="1:16" x14ac:dyDescent="0.25">
      <c r="L45"/>
      <c r="M45"/>
      <c r="N45"/>
      <c r="O45"/>
      <c r="P45"/>
    </row>
    <row r="46" spans="1:16" x14ac:dyDescent="0.25">
      <c r="L46"/>
      <c r="M46"/>
      <c r="N46"/>
      <c r="O46"/>
      <c r="P46"/>
    </row>
  </sheetData>
  <mergeCells count="2">
    <mergeCell ref="E22:F22"/>
    <mergeCell ref="E24:F24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7" workbookViewId="0">
      <selection activeCell="C22" sqref="C22:C23"/>
    </sheetView>
  </sheetViews>
  <sheetFormatPr defaultRowHeight="15" x14ac:dyDescent="0.25"/>
  <cols>
    <col min="1" max="1" width="10" style="54" customWidth="1"/>
    <col min="2" max="2" width="38.140625" style="54" customWidth="1"/>
    <col min="3" max="16384" width="9.140625" style="54"/>
  </cols>
  <sheetData>
    <row r="1" spans="1:10" s="1" customFormat="1" x14ac:dyDescent="0.25">
      <c r="A1" s="1" t="s">
        <v>64</v>
      </c>
    </row>
    <row r="2" spans="1:10" ht="18.75" x14ac:dyDescent="0.3">
      <c r="A2" s="30" t="s">
        <v>166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54" t="s">
        <v>4</v>
      </c>
    </row>
    <row r="9" spans="1:10" x14ac:dyDescent="0.25">
      <c r="B9" s="40" t="s">
        <v>8</v>
      </c>
      <c r="C9" s="44">
        <v>0.12</v>
      </c>
    </row>
    <row r="11" spans="1:10" x14ac:dyDescent="0.25">
      <c r="A11" s="8" t="s">
        <v>4</v>
      </c>
    </row>
    <row r="12" spans="1:10" x14ac:dyDescent="0.25">
      <c r="A12" s="10"/>
    </row>
    <row r="13" spans="1:10" x14ac:dyDescent="0.25">
      <c r="A13" s="10"/>
    </row>
    <row r="14" spans="1:10" x14ac:dyDescent="0.25">
      <c r="A14" s="10"/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B20" s="1" t="s">
        <v>36</v>
      </c>
    </row>
    <row r="21" spans="1:10" s="79" customFormat="1" x14ac:dyDescent="0.25">
      <c r="A21" s="10"/>
      <c r="B21" s="40" t="s">
        <v>267</v>
      </c>
    </row>
    <row r="22" spans="1:10" x14ac:dyDescent="0.25">
      <c r="A22" s="10"/>
      <c r="B22" s="54" t="s">
        <v>265</v>
      </c>
      <c r="C22" s="84">
        <f>72/(C9*100)</f>
        <v>6</v>
      </c>
    </row>
    <row r="23" spans="1:10" x14ac:dyDescent="0.25">
      <c r="A23" s="10"/>
      <c r="B23" s="54" t="s">
        <v>266</v>
      </c>
      <c r="C23" s="84">
        <f>LN(2)/LN(1+C9)</f>
        <v>6.1162553741996994</v>
      </c>
      <c r="E23" s="93"/>
      <c r="F23" s="93"/>
      <c r="G23" s="19"/>
    </row>
    <row r="24" spans="1:10" s="79" customFormat="1" x14ac:dyDescent="0.25">
      <c r="A24" s="10"/>
      <c r="C24" s="10"/>
      <c r="E24" s="78"/>
      <c r="F24" s="78"/>
      <c r="G24" s="19"/>
    </row>
    <row r="25" spans="1:10" s="79" customFormat="1" x14ac:dyDescent="0.25">
      <c r="A25" s="10"/>
      <c r="B25" s="79" t="s">
        <v>4</v>
      </c>
      <c r="C25" s="10"/>
      <c r="E25" s="78"/>
      <c r="F25" s="78"/>
      <c r="G25" s="19"/>
    </row>
    <row r="26" spans="1:10" x14ac:dyDescent="0.25">
      <c r="A26" s="10"/>
      <c r="B26" s="54" t="s">
        <v>4</v>
      </c>
      <c r="C26" s="10" t="s">
        <v>4</v>
      </c>
      <c r="G26" s="19"/>
    </row>
    <row r="27" spans="1:10" x14ac:dyDescent="0.25">
      <c r="A27" s="10"/>
      <c r="E27" s="94"/>
      <c r="F27" s="94"/>
      <c r="G27" s="19"/>
    </row>
    <row r="28" spans="1:10" x14ac:dyDescent="0.25">
      <c r="A28" s="10"/>
      <c r="G28" s="19"/>
    </row>
    <row r="29" spans="1:10" x14ac:dyDescent="0.25">
      <c r="A29" s="10"/>
    </row>
    <row r="30" spans="1:10" x14ac:dyDescent="0.25">
      <c r="A30" s="10"/>
    </row>
    <row r="31" spans="1:10" x14ac:dyDescent="0.25">
      <c r="A31" s="10"/>
    </row>
    <row r="32" spans="1:10" x14ac:dyDescent="0.25">
      <c r="A32" s="10"/>
    </row>
    <row r="33" spans="1:10" x14ac:dyDescent="0.25">
      <c r="A33" s="10"/>
    </row>
    <row r="34" spans="1:10" x14ac:dyDescent="0.25">
      <c r="A34" s="10"/>
      <c r="B34" s="20"/>
      <c r="C34" s="21"/>
    </row>
    <row r="35" spans="1:10" x14ac:dyDescent="0.25">
      <c r="A35" s="13"/>
      <c r="B35" s="22"/>
      <c r="C35" s="23"/>
      <c r="D35" s="17"/>
      <c r="E35" s="17"/>
      <c r="F35" s="17"/>
      <c r="G35" s="17"/>
      <c r="H35" s="17"/>
      <c r="I35" s="17"/>
      <c r="J35" s="17"/>
    </row>
    <row r="36" spans="1:10" x14ac:dyDescent="0.25">
      <c r="A36" s="10"/>
      <c r="B36" s="20"/>
      <c r="C36" s="24"/>
    </row>
    <row r="37" spans="1:10" x14ac:dyDescent="0.25">
      <c r="A37" s="6"/>
      <c r="B37" s="25" t="s">
        <v>6</v>
      </c>
      <c r="C37" s="6"/>
      <c r="D37" s="6"/>
      <c r="E37" s="6"/>
      <c r="F37" s="6"/>
      <c r="G37" s="6"/>
      <c r="H37" s="6"/>
      <c r="I37" s="6"/>
      <c r="J37" s="6"/>
    </row>
  </sheetData>
  <mergeCells count="2">
    <mergeCell ref="E23:F23"/>
    <mergeCell ref="E27:F2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workbookViewId="0">
      <selection activeCell="C13" sqref="C13"/>
    </sheetView>
  </sheetViews>
  <sheetFormatPr defaultRowHeight="15" x14ac:dyDescent="0.25"/>
  <cols>
    <col min="1" max="1" width="10" style="54" customWidth="1"/>
    <col min="2" max="2" width="38.140625" style="54" customWidth="1"/>
    <col min="3" max="3" width="15.5703125" style="54" customWidth="1"/>
    <col min="4" max="16384" width="9.140625" style="54"/>
  </cols>
  <sheetData>
    <row r="1" spans="1:10" s="1" customFormat="1" x14ac:dyDescent="0.25">
      <c r="A1" s="1" t="s">
        <v>64</v>
      </c>
    </row>
    <row r="2" spans="1:10" ht="18.75" x14ac:dyDescent="0.3">
      <c r="A2" s="30" t="s">
        <v>167</v>
      </c>
      <c r="B2" s="2"/>
      <c r="C2" s="2"/>
      <c r="D2" s="2"/>
      <c r="E2" s="2"/>
      <c r="F2" s="2"/>
      <c r="G2" s="2"/>
      <c r="H2" s="2"/>
    </row>
    <row r="3" spans="1:10" ht="18.75" x14ac:dyDescent="0.3">
      <c r="A3" s="30"/>
      <c r="B3" s="2"/>
      <c r="C3" s="2"/>
      <c r="D3" s="2"/>
      <c r="E3" s="2"/>
      <c r="F3" s="2"/>
      <c r="G3" s="2"/>
      <c r="H3" s="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8" spans="1:10" x14ac:dyDescent="0.25">
      <c r="B8" s="1" t="s">
        <v>3</v>
      </c>
      <c r="C8" s="54" t="s">
        <v>4</v>
      </c>
    </row>
    <row r="9" spans="1:10" x14ac:dyDescent="0.25">
      <c r="B9" s="40" t="s">
        <v>16</v>
      </c>
      <c r="C9" s="43">
        <v>3500000</v>
      </c>
    </row>
    <row r="10" spans="1:10" x14ac:dyDescent="0.25">
      <c r="B10" s="54" t="s">
        <v>268</v>
      </c>
      <c r="C10" s="50">
        <v>-0.04</v>
      </c>
    </row>
    <row r="11" spans="1:10" x14ac:dyDescent="0.25">
      <c r="A11" s="8" t="s">
        <v>4</v>
      </c>
      <c r="B11" s="54" t="s">
        <v>24</v>
      </c>
      <c r="C11" s="44">
        <v>0.11</v>
      </c>
    </row>
    <row r="12" spans="1:10" x14ac:dyDescent="0.25">
      <c r="A12" s="10"/>
      <c r="B12" s="54" t="s">
        <v>55</v>
      </c>
      <c r="C12" s="45">
        <v>15</v>
      </c>
    </row>
    <row r="13" spans="1:10" x14ac:dyDescent="0.25">
      <c r="A13" s="10"/>
    </row>
    <row r="14" spans="1:10" x14ac:dyDescent="0.25">
      <c r="A14" s="10"/>
    </row>
    <row r="15" spans="1:10" x14ac:dyDescent="0.25">
      <c r="A15" s="10"/>
    </row>
    <row r="16" spans="1:10" x14ac:dyDescent="0.25">
      <c r="A16" s="10"/>
      <c r="B16" s="7"/>
      <c r="C16" s="11"/>
      <c r="D16" s="12"/>
      <c r="E16" s="9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H18" s="18"/>
    </row>
    <row r="19" spans="1:10" x14ac:dyDescent="0.25">
      <c r="A19" s="10"/>
      <c r="B19" s="1" t="s">
        <v>5</v>
      </c>
    </row>
    <row r="20" spans="1:10" x14ac:dyDescent="0.25">
      <c r="A20" s="10"/>
      <c r="B20" s="1" t="s">
        <v>36</v>
      </c>
    </row>
    <row r="21" spans="1:10" x14ac:dyDescent="0.25">
      <c r="A21" s="10"/>
      <c r="B21" s="54" t="s">
        <v>269</v>
      </c>
      <c r="C21" s="41">
        <f>C9/(C11-C10)</f>
        <v>23333333.333333336</v>
      </c>
    </row>
    <row r="22" spans="1:10" x14ac:dyDescent="0.25">
      <c r="A22" s="10"/>
      <c r="E22" s="93"/>
      <c r="F22" s="93"/>
      <c r="G22" s="19"/>
    </row>
    <row r="23" spans="1:10" x14ac:dyDescent="0.25">
      <c r="A23" s="10"/>
      <c r="B23" s="1" t="s">
        <v>37</v>
      </c>
      <c r="G23" s="19"/>
    </row>
    <row r="24" spans="1:10" ht="18" x14ac:dyDescent="0.35">
      <c r="A24" s="10"/>
      <c r="B24" s="40" t="s">
        <v>270</v>
      </c>
      <c r="C24" s="36">
        <f>(C9*(1+C10)^C12/(C11-C10))</f>
        <v>12648682.196754543</v>
      </c>
      <c r="E24" s="94"/>
      <c r="F24" s="94"/>
      <c r="G24" s="19"/>
    </row>
    <row r="25" spans="1:10" ht="18" x14ac:dyDescent="0.35">
      <c r="A25" s="10"/>
      <c r="B25" s="40" t="s">
        <v>271</v>
      </c>
      <c r="C25" s="41">
        <f>C21-(C24/(1+C11)^C12)</f>
        <v>20689703.774813134</v>
      </c>
      <c r="G25" s="19"/>
    </row>
    <row r="26" spans="1:10" x14ac:dyDescent="0.25">
      <c r="A26" s="10"/>
    </row>
    <row r="27" spans="1:10" x14ac:dyDescent="0.25">
      <c r="A27" s="10"/>
    </row>
    <row r="28" spans="1:10" x14ac:dyDescent="0.25">
      <c r="A28" s="10"/>
    </row>
    <row r="29" spans="1:10" x14ac:dyDescent="0.25">
      <c r="A29" s="10"/>
    </row>
    <row r="30" spans="1:10" x14ac:dyDescent="0.25">
      <c r="A30" s="10"/>
    </row>
    <row r="31" spans="1:10" x14ac:dyDescent="0.25">
      <c r="A31" s="10"/>
      <c r="B31" s="20"/>
      <c r="C31" s="21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</sheetData>
  <mergeCells count="2">
    <mergeCell ref="E22:F22"/>
    <mergeCell ref="E24:F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A12" sqref="A12:XFD12"/>
    </sheetView>
  </sheetViews>
  <sheetFormatPr defaultRowHeight="15" x14ac:dyDescent="0.25"/>
  <cols>
    <col min="1" max="1" width="11.42578125" customWidth="1"/>
    <col min="2" max="2" width="25.28515625" customWidth="1"/>
    <col min="3" max="3" width="11.28515625" customWidth="1"/>
  </cols>
  <sheetData>
    <row r="1" spans="1:10" s="1" customFormat="1" x14ac:dyDescent="0.25">
      <c r="A1" s="1" t="s">
        <v>64</v>
      </c>
    </row>
    <row r="2" spans="1:10" ht="18.75" x14ac:dyDescent="0.3">
      <c r="A2" s="30" t="s">
        <v>71</v>
      </c>
      <c r="B2" s="2"/>
      <c r="C2" s="2"/>
      <c r="D2" s="2"/>
      <c r="E2" s="2"/>
      <c r="F2" s="2"/>
      <c r="G2" s="2"/>
      <c r="H2" s="2"/>
      <c r="I2" s="32"/>
      <c r="J2" s="32"/>
    </row>
    <row r="3" spans="1:10" ht="18.75" x14ac:dyDescent="0.3">
      <c r="A3" s="30"/>
      <c r="B3" s="2"/>
      <c r="C3" s="2"/>
      <c r="D3" s="2"/>
      <c r="E3" s="2"/>
      <c r="F3" s="2"/>
      <c r="G3" s="2"/>
      <c r="H3" s="2"/>
      <c r="I3" s="32"/>
      <c r="J3" s="3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  <c r="I5" s="32"/>
      <c r="J5" s="3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25">
      <c r="A8" s="32"/>
      <c r="B8" s="1" t="s">
        <v>3</v>
      </c>
      <c r="C8" s="32" t="s">
        <v>4</v>
      </c>
      <c r="D8" s="32"/>
      <c r="E8" s="32"/>
      <c r="F8" s="32"/>
      <c r="G8" s="32"/>
      <c r="H8" s="32"/>
      <c r="I8" s="32"/>
      <c r="J8" s="32"/>
    </row>
    <row r="9" spans="1:10" x14ac:dyDescent="0.25">
      <c r="A9" s="32"/>
      <c r="B9" s="33" t="s">
        <v>16</v>
      </c>
      <c r="C9" s="43">
        <v>432</v>
      </c>
      <c r="D9" s="32"/>
      <c r="E9" s="32"/>
      <c r="F9" s="32"/>
      <c r="G9" s="32"/>
      <c r="H9" s="32"/>
      <c r="I9" s="32"/>
      <c r="J9" s="32"/>
    </row>
    <row r="10" spans="1:10" x14ac:dyDescent="0.25">
      <c r="A10" s="32"/>
      <c r="B10" s="33" t="s">
        <v>15</v>
      </c>
      <c r="C10" s="43">
        <v>137</v>
      </c>
      <c r="D10" s="32"/>
      <c r="E10" s="32"/>
      <c r="F10" s="32"/>
      <c r="G10" s="32"/>
      <c r="H10" s="32"/>
      <c r="I10" s="32"/>
      <c r="J10" s="32"/>
    </row>
    <row r="11" spans="1:10" x14ac:dyDescent="0.25">
      <c r="A11" s="8" t="s">
        <v>4</v>
      </c>
      <c r="B11" s="33" t="s">
        <v>17</v>
      </c>
      <c r="C11" s="43">
        <v>797</v>
      </c>
      <c r="D11" s="32"/>
      <c r="E11" s="32"/>
      <c r="F11" s="32"/>
      <c r="G11" s="32"/>
      <c r="H11" s="32"/>
      <c r="I11" s="32"/>
      <c r="J11" s="32"/>
    </row>
    <row r="12" spans="1:10" x14ac:dyDescent="0.25">
      <c r="A12" s="10"/>
      <c r="B12" s="33" t="s">
        <v>14</v>
      </c>
      <c r="C12" s="44">
        <v>0.15</v>
      </c>
      <c r="D12" s="32"/>
      <c r="E12" s="32"/>
      <c r="F12" s="32"/>
      <c r="G12" s="32"/>
      <c r="H12" s="32"/>
      <c r="I12" s="32"/>
      <c r="J12" s="32"/>
    </row>
    <row r="13" spans="1:10" x14ac:dyDescent="0.25">
      <c r="A13" s="10"/>
      <c r="B13" s="33" t="s">
        <v>18</v>
      </c>
      <c r="C13" s="43">
        <v>-1200</v>
      </c>
      <c r="D13" s="33" t="s">
        <v>21</v>
      </c>
      <c r="E13" s="32"/>
      <c r="F13" s="32"/>
      <c r="G13" s="32"/>
      <c r="H13" s="32"/>
      <c r="I13" s="32"/>
      <c r="J13" s="32"/>
    </row>
    <row r="14" spans="1:10" x14ac:dyDescent="0.25">
      <c r="A14" s="10"/>
      <c r="B14" s="32"/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10"/>
      <c r="B15" s="7"/>
      <c r="C15" s="11"/>
      <c r="D15" s="12"/>
      <c r="E15" s="9"/>
      <c r="F15" s="32"/>
      <c r="G15" s="32"/>
      <c r="H15" s="32"/>
      <c r="I15" s="32"/>
      <c r="J15" s="32"/>
    </row>
    <row r="16" spans="1:10" x14ac:dyDescent="0.25">
      <c r="A16" s="13"/>
      <c r="B16" s="14"/>
      <c r="C16" s="15"/>
      <c r="D16" s="13"/>
      <c r="E16" s="16"/>
      <c r="F16" s="17"/>
      <c r="G16" s="17"/>
      <c r="H16" s="17"/>
      <c r="I16" s="17"/>
      <c r="J16" s="17"/>
    </row>
    <row r="17" spans="1:10" x14ac:dyDescent="0.25">
      <c r="A17" s="10"/>
      <c r="B17" s="32"/>
      <c r="C17" s="32"/>
      <c r="D17" s="32"/>
      <c r="E17" s="32"/>
      <c r="F17" s="32"/>
      <c r="G17" s="32"/>
      <c r="H17" s="18"/>
      <c r="I17" s="32"/>
      <c r="J17" s="32"/>
    </row>
    <row r="18" spans="1:10" x14ac:dyDescent="0.25">
      <c r="A18" s="10"/>
      <c r="B18" s="1" t="s">
        <v>5</v>
      </c>
      <c r="C18" s="32"/>
      <c r="D18" s="32"/>
      <c r="E18" s="32"/>
      <c r="F18" s="32"/>
      <c r="G18" s="32"/>
      <c r="H18" s="32"/>
      <c r="I18" s="32"/>
      <c r="J18" s="32"/>
    </row>
    <row r="19" spans="1:10" x14ac:dyDescent="0.25">
      <c r="A19" s="10"/>
      <c r="B19" s="33" t="s">
        <v>19</v>
      </c>
      <c r="C19" s="38">
        <f>C9/(1+C12)+C10/(1+C12)^2+C11/(1+C12)^3</f>
        <v>1003.284293580998</v>
      </c>
      <c r="D19" s="32"/>
      <c r="E19" s="32"/>
      <c r="F19" s="32"/>
      <c r="G19" s="32"/>
      <c r="H19" s="32"/>
      <c r="I19" s="32"/>
      <c r="J19" s="32"/>
    </row>
    <row r="20" spans="1:10" x14ac:dyDescent="0.25">
      <c r="A20" s="10"/>
      <c r="B20" s="33" t="s">
        <v>20</v>
      </c>
      <c r="C20" s="38">
        <f>C19+C13</f>
        <v>-196.715706419002</v>
      </c>
      <c r="D20" s="32"/>
      <c r="E20" s="32"/>
      <c r="F20" s="32"/>
      <c r="G20" s="32"/>
      <c r="H20" s="32"/>
      <c r="I20" s="32"/>
      <c r="J20" s="32"/>
    </row>
    <row r="21" spans="1:10" x14ac:dyDescent="0.25">
      <c r="A21" s="10"/>
      <c r="B21" s="32"/>
      <c r="C21" s="32"/>
      <c r="D21" s="32"/>
      <c r="E21" s="93"/>
      <c r="F21" s="93"/>
      <c r="G21" s="19"/>
      <c r="H21" s="32"/>
      <c r="I21" s="32"/>
      <c r="J21" s="32"/>
    </row>
    <row r="22" spans="1:10" x14ac:dyDescent="0.25">
      <c r="A22" s="10"/>
      <c r="B22" s="32"/>
      <c r="C22" s="32"/>
      <c r="D22" s="32"/>
      <c r="E22" s="32"/>
      <c r="F22" s="32"/>
      <c r="G22" s="19"/>
      <c r="H22" s="32"/>
      <c r="I22" s="32"/>
      <c r="J22" s="32"/>
    </row>
    <row r="23" spans="1:10" x14ac:dyDescent="0.25">
      <c r="A23" s="10"/>
      <c r="B23" s="32"/>
      <c r="C23" s="32"/>
      <c r="D23" s="32"/>
      <c r="E23" s="94"/>
      <c r="F23" s="94"/>
      <c r="G23" s="19"/>
      <c r="H23" s="32"/>
      <c r="I23" s="32"/>
      <c r="J23" s="32"/>
    </row>
    <row r="24" spans="1:10" x14ac:dyDescent="0.25">
      <c r="A24" s="10"/>
      <c r="B24" s="32"/>
      <c r="C24" s="32"/>
      <c r="D24" s="32"/>
      <c r="E24" s="32"/>
      <c r="F24" s="32"/>
      <c r="G24" s="19"/>
      <c r="H24" s="32"/>
      <c r="I24" s="32"/>
      <c r="J24" s="32"/>
    </row>
    <row r="25" spans="1:10" x14ac:dyDescent="0.25">
      <c r="A25" s="10"/>
      <c r="B25" s="32"/>
      <c r="C25" s="32"/>
      <c r="D25" s="32"/>
      <c r="E25" s="32"/>
      <c r="F25" s="32"/>
      <c r="G25" s="32"/>
      <c r="H25" s="32"/>
      <c r="I25" s="32"/>
      <c r="J25" s="32"/>
    </row>
    <row r="26" spans="1:10" x14ac:dyDescent="0.25">
      <c r="A26" s="10"/>
      <c r="B26" s="32"/>
      <c r="C26" s="32"/>
      <c r="D26" s="32"/>
      <c r="E26" s="32"/>
      <c r="F26" s="32"/>
      <c r="G26" s="32"/>
      <c r="H26" s="32"/>
      <c r="I26" s="32"/>
      <c r="J26" s="32"/>
    </row>
    <row r="27" spans="1:10" x14ac:dyDescent="0.25">
      <c r="A27" s="10"/>
      <c r="B27" s="32"/>
      <c r="C27" s="32"/>
      <c r="D27" s="32"/>
      <c r="E27" s="32"/>
      <c r="F27" s="32"/>
      <c r="G27" s="32"/>
      <c r="H27" s="32"/>
      <c r="I27" s="32"/>
      <c r="J27" s="32"/>
    </row>
    <row r="28" spans="1:10" x14ac:dyDescent="0.25">
      <c r="A28" s="10"/>
      <c r="B28" s="32"/>
      <c r="C28" s="32"/>
      <c r="D28" s="32"/>
      <c r="E28" s="32"/>
      <c r="F28" s="32"/>
      <c r="G28" s="32"/>
      <c r="H28" s="32"/>
      <c r="I28" s="32"/>
      <c r="J28" s="32"/>
    </row>
    <row r="29" spans="1:10" x14ac:dyDescent="0.25">
      <c r="A29" s="10"/>
      <c r="B29" s="32"/>
      <c r="C29" s="32"/>
      <c r="D29" s="32"/>
      <c r="E29" s="32"/>
      <c r="F29" s="32"/>
      <c r="G29" s="32"/>
      <c r="H29" s="32"/>
      <c r="I29" s="32"/>
      <c r="J29" s="32"/>
    </row>
    <row r="30" spans="1:10" x14ac:dyDescent="0.25">
      <c r="A30" s="10"/>
      <c r="B30" s="20"/>
      <c r="C30" s="21"/>
      <c r="D30" s="32"/>
      <c r="E30" s="32"/>
      <c r="F30" s="32"/>
      <c r="G30" s="32"/>
      <c r="H30" s="32"/>
      <c r="I30" s="32"/>
      <c r="J30" s="32"/>
    </row>
    <row r="31" spans="1:10" x14ac:dyDescent="0.25">
      <c r="A31" s="13"/>
      <c r="B31" s="22"/>
      <c r="C31" s="23"/>
      <c r="D31" s="17"/>
      <c r="E31" s="17"/>
      <c r="F31" s="17"/>
      <c r="G31" s="17"/>
      <c r="H31" s="17"/>
      <c r="I31" s="17"/>
      <c r="J31" s="17"/>
    </row>
    <row r="32" spans="1:10" x14ac:dyDescent="0.25">
      <c r="A32" s="10"/>
      <c r="B32" s="20"/>
      <c r="C32" s="24"/>
      <c r="D32" s="32"/>
      <c r="E32" s="32"/>
      <c r="F32" s="32"/>
      <c r="G32" s="32"/>
      <c r="H32" s="32"/>
      <c r="I32" s="32"/>
      <c r="J32" s="32"/>
    </row>
    <row r="33" spans="1:10" x14ac:dyDescent="0.25">
      <c r="A33" s="6"/>
      <c r="B33" s="25" t="s">
        <v>6</v>
      </c>
      <c r="C33" s="6"/>
      <c r="D33" s="6"/>
      <c r="E33" s="6"/>
      <c r="F33" s="6"/>
      <c r="G33" s="6"/>
      <c r="H33" s="6"/>
      <c r="I33" s="6"/>
      <c r="J33" s="6"/>
    </row>
  </sheetData>
  <mergeCells count="2">
    <mergeCell ref="E21:F21"/>
    <mergeCell ref="E23:F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20" sqref="C20"/>
    </sheetView>
  </sheetViews>
  <sheetFormatPr defaultRowHeight="15" x14ac:dyDescent="0.25"/>
  <cols>
    <col min="1" max="1" width="12.5703125" customWidth="1"/>
    <col min="2" max="2" width="20.28515625" customWidth="1"/>
    <col min="3" max="3" width="9.85546875" bestFit="1" customWidth="1"/>
  </cols>
  <sheetData>
    <row r="1" spans="1:10" s="1" customFormat="1" x14ac:dyDescent="0.25">
      <c r="A1" s="1" t="s">
        <v>64</v>
      </c>
    </row>
    <row r="2" spans="1:10" ht="18.75" x14ac:dyDescent="0.3">
      <c r="A2" s="30" t="s">
        <v>70</v>
      </c>
      <c r="B2" s="2"/>
      <c r="C2" s="2"/>
      <c r="D2" s="2"/>
      <c r="E2" s="2"/>
      <c r="F2" s="2"/>
      <c r="G2" s="2"/>
      <c r="H2" s="2"/>
      <c r="I2" s="32"/>
      <c r="J2" s="32"/>
    </row>
    <row r="3" spans="1:10" ht="18.75" x14ac:dyDescent="0.3">
      <c r="A3" s="30"/>
      <c r="B3" s="2"/>
      <c r="C3" s="2"/>
      <c r="D3" s="2"/>
      <c r="E3" s="2"/>
      <c r="F3" s="2"/>
      <c r="G3" s="2"/>
      <c r="H3" s="2"/>
      <c r="I3" s="32"/>
      <c r="J3" s="3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  <c r="I5" s="32"/>
      <c r="J5" s="3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25">
      <c r="A8" s="32"/>
      <c r="B8" s="1" t="s">
        <v>3</v>
      </c>
      <c r="C8" s="32" t="s">
        <v>4</v>
      </c>
      <c r="D8" s="32"/>
      <c r="E8" s="32"/>
      <c r="F8" s="32"/>
      <c r="G8" s="32"/>
      <c r="H8" s="32"/>
      <c r="I8" s="32"/>
      <c r="J8" s="32"/>
    </row>
    <row r="9" spans="1:10" x14ac:dyDescent="0.25">
      <c r="A9" s="32"/>
      <c r="B9" s="33" t="s">
        <v>22</v>
      </c>
      <c r="C9" s="43">
        <v>1548</v>
      </c>
      <c r="D9" s="33" t="s">
        <v>25</v>
      </c>
      <c r="E9" s="32"/>
      <c r="F9" s="32"/>
      <c r="G9" s="32"/>
      <c r="H9" s="32"/>
      <c r="I9" s="32"/>
      <c r="J9" s="32"/>
    </row>
    <row r="10" spans="1:10" x14ac:dyDescent="0.25">
      <c r="A10" s="32"/>
      <c r="B10" s="33" t="s">
        <v>23</v>
      </c>
      <c r="C10" s="43">
        <v>138</v>
      </c>
      <c r="D10" s="32"/>
      <c r="E10" s="32"/>
      <c r="F10" s="32"/>
      <c r="G10" s="32"/>
      <c r="H10" s="32"/>
      <c r="I10" s="32"/>
      <c r="J10" s="32"/>
    </row>
    <row r="11" spans="1:10" x14ac:dyDescent="0.25">
      <c r="A11" s="8" t="s">
        <v>4</v>
      </c>
      <c r="B11" s="33" t="s">
        <v>24</v>
      </c>
      <c r="C11" s="44">
        <v>0.09</v>
      </c>
      <c r="D11" s="32"/>
      <c r="E11" s="32"/>
      <c r="F11" s="32"/>
      <c r="G11" s="32"/>
      <c r="H11" s="32"/>
      <c r="I11" s="32"/>
      <c r="J11" s="32"/>
    </row>
    <row r="12" spans="1:10" x14ac:dyDescent="0.25">
      <c r="A12" s="10"/>
      <c r="B12" s="32"/>
      <c r="C12" s="32"/>
      <c r="D12" s="32"/>
      <c r="E12" s="32"/>
      <c r="F12" s="32"/>
      <c r="G12" s="32"/>
      <c r="H12" s="32"/>
      <c r="I12" s="32"/>
      <c r="J12" s="32"/>
    </row>
    <row r="13" spans="1:10" x14ac:dyDescent="0.25">
      <c r="A13" s="10"/>
      <c r="B13" s="32"/>
      <c r="C13" s="32"/>
      <c r="D13" s="32"/>
      <c r="E13" s="32"/>
      <c r="F13" s="32"/>
      <c r="G13" s="32"/>
      <c r="H13" s="32"/>
      <c r="I13" s="32"/>
      <c r="J13" s="32"/>
    </row>
    <row r="14" spans="1:10" x14ac:dyDescent="0.25">
      <c r="A14" s="10"/>
      <c r="B14" s="32"/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10"/>
      <c r="B15" s="32"/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10"/>
      <c r="B16" s="7"/>
      <c r="C16" s="11"/>
      <c r="D16" s="12"/>
      <c r="E16" s="9"/>
      <c r="F16" s="32"/>
      <c r="G16" s="32"/>
      <c r="H16" s="32"/>
      <c r="I16" s="32"/>
      <c r="J16" s="32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B18" s="32"/>
      <c r="C18" s="32"/>
      <c r="D18" s="32"/>
      <c r="E18" s="32"/>
      <c r="F18" s="32"/>
      <c r="G18" s="32"/>
      <c r="H18" s="18"/>
      <c r="I18" s="32"/>
      <c r="J18" s="32"/>
    </row>
    <row r="19" spans="1:10" x14ac:dyDescent="0.25">
      <c r="A19" s="10"/>
      <c r="B19" s="1" t="s">
        <v>5</v>
      </c>
      <c r="C19" s="32"/>
      <c r="D19" s="32"/>
      <c r="E19" s="32"/>
      <c r="F19" s="32"/>
      <c r="G19" s="32"/>
      <c r="H19" s="32"/>
      <c r="I19" s="32"/>
      <c r="J19" s="32"/>
    </row>
    <row r="20" spans="1:10" x14ac:dyDescent="0.25">
      <c r="A20" s="10"/>
      <c r="B20" s="1" t="s">
        <v>20</v>
      </c>
      <c r="C20" s="38">
        <f>(C10/C11)-C9</f>
        <v>-14.666666666666515</v>
      </c>
      <c r="D20" s="32"/>
      <c r="E20" s="32"/>
      <c r="F20" s="32"/>
      <c r="G20" s="32"/>
      <c r="H20" s="32"/>
      <c r="I20" s="32"/>
      <c r="J20" s="32"/>
    </row>
    <row r="21" spans="1:10" x14ac:dyDescent="0.25">
      <c r="A21" s="10"/>
      <c r="B21" s="32"/>
      <c r="C21" s="32"/>
      <c r="D21" s="32"/>
      <c r="E21" s="32"/>
      <c r="F21" s="32"/>
      <c r="G21" s="32"/>
      <c r="H21" s="32"/>
      <c r="I21" s="32"/>
      <c r="J21" s="32"/>
    </row>
    <row r="22" spans="1:10" x14ac:dyDescent="0.25">
      <c r="A22" s="10"/>
      <c r="B22" s="32"/>
      <c r="C22" s="32"/>
      <c r="D22" s="32"/>
      <c r="E22" s="93"/>
      <c r="F22" s="93"/>
      <c r="G22" s="19"/>
      <c r="H22" s="32"/>
      <c r="I22" s="32"/>
      <c r="J22" s="32"/>
    </row>
    <row r="23" spans="1:10" x14ac:dyDescent="0.25">
      <c r="A23" s="10"/>
      <c r="B23" s="32"/>
      <c r="C23" s="32"/>
      <c r="D23" s="32"/>
      <c r="E23" s="32"/>
      <c r="F23" s="32"/>
      <c r="G23" s="19"/>
      <c r="H23" s="32"/>
      <c r="I23" s="32"/>
      <c r="J23" s="32"/>
    </row>
    <row r="24" spans="1:10" x14ac:dyDescent="0.25">
      <c r="A24" s="10"/>
      <c r="B24" s="32"/>
      <c r="C24" s="32"/>
      <c r="D24" s="32"/>
      <c r="E24" s="94"/>
      <c r="F24" s="94"/>
      <c r="G24" s="19"/>
      <c r="H24" s="32"/>
      <c r="I24" s="32"/>
      <c r="J24" s="32"/>
    </row>
    <row r="25" spans="1:10" x14ac:dyDescent="0.25">
      <c r="A25" s="10"/>
      <c r="B25" s="32"/>
      <c r="C25" s="32"/>
      <c r="D25" s="32"/>
      <c r="E25" s="32"/>
      <c r="F25" s="32"/>
      <c r="G25" s="19"/>
      <c r="H25" s="32"/>
      <c r="I25" s="32"/>
      <c r="J25" s="32"/>
    </row>
    <row r="26" spans="1:10" x14ac:dyDescent="0.25">
      <c r="A26" s="10"/>
      <c r="B26" s="32"/>
      <c r="C26" s="32"/>
      <c r="D26" s="32"/>
      <c r="E26" s="32"/>
      <c r="F26" s="32"/>
      <c r="G26" s="32"/>
      <c r="H26" s="32"/>
      <c r="I26" s="32"/>
      <c r="J26" s="32"/>
    </row>
    <row r="27" spans="1:10" x14ac:dyDescent="0.25">
      <c r="A27" s="10"/>
      <c r="B27" s="32"/>
      <c r="C27" s="32"/>
      <c r="D27" s="32"/>
      <c r="E27" s="32"/>
      <c r="F27" s="32"/>
      <c r="G27" s="32"/>
      <c r="H27" s="32"/>
      <c r="I27" s="32"/>
      <c r="J27" s="32"/>
    </row>
    <row r="28" spans="1:10" x14ac:dyDescent="0.25">
      <c r="A28" s="10"/>
      <c r="B28" s="32"/>
      <c r="C28" s="32"/>
      <c r="D28" s="32"/>
      <c r="E28" s="32"/>
      <c r="F28" s="32"/>
      <c r="G28" s="32"/>
      <c r="H28" s="32"/>
      <c r="I28" s="32"/>
      <c r="J28" s="32"/>
    </row>
    <row r="29" spans="1:10" x14ac:dyDescent="0.25">
      <c r="A29" s="10"/>
      <c r="B29" s="32"/>
      <c r="C29" s="32"/>
      <c r="D29" s="32"/>
      <c r="E29" s="32"/>
      <c r="F29" s="32"/>
      <c r="G29" s="32"/>
      <c r="H29" s="32"/>
      <c r="I29" s="32"/>
      <c r="J29" s="32"/>
    </row>
    <row r="30" spans="1:10" x14ac:dyDescent="0.25">
      <c r="A30" s="10"/>
      <c r="B30" s="32"/>
      <c r="C30" s="32"/>
      <c r="D30" s="32"/>
      <c r="E30" s="32"/>
      <c r="F30" s="32"/>
      <c r="G30" s="32"/>
      <c r="H30" s="32"/>
      <c r="I30" s="32"/>
      <c r="J30" s="32"/>
    </row>
    <row r="31" spans="1:10" x14ac:dyDescent="0.25">
      <c r="A31" s="10"/>
      <c r="B31" s="20"/>
      <c r="C31" s="21"/>
      <c r="D31" s="32"/>
      <c r="E31" s="32"/>
      <c r="F31" s="32"/>
      <c r="G31" s="32"/>
      <c r="H31" s="32"/>
      <c r="I31" s="32"/>
      <c r="J31" s="32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  <c r="D33" s="32"/>
      <c r="E33" s="32"/>
      <c r="F33" s="32"/>
      <c r="G33" s="32"/>
      <c r="H33" s="32"/>
      <c r="I33" s="32"/>
      <c r="J33" s="32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</sheetData>
  <mergeCells count="2">
    <mergeCell ref="E22:F22"/>
    <mergeCell ref="E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F36" sqref="F36"/>
    </sheetView>
  </sheetViews>
  <sheetFormatPr defaultRowHeight="15" x14ac:dyDescent="0.25"/>
  <cols>
    <col min="1" max="1" width="13.140625" customWidth="1"/>
    <col min="2" max="2" width="22.85546875" customWidth="1"/>
  </cols>
  <sheetData>
    <row r="1" spans="1:10" s="1" customFormat="1" x14ac:dyDescent="0.25">
      <c r="A1" s="1" t="s">
        <v>65</v>
      </c>
    </row>
    <row r="2" spans="1:10" ht="18.75" x14ac:dyDescent="0.3">
      <c r="A2" s="30" t="s">
        <v>69</v>
      </c>
      <c r="B2" s="2"/>
      <c r="C2" s="2"/>
      <c r="D2" s="2"/>
      <c r="E2" s="2"/>
      <c r="F2" s="2"/>
      <c r="G2" s="2"/>
      <c r="H2" s="2"/>
      <c r="I2" s="32"/>
      <c r="J2" s="32"/>
    </row>
    <row r="3" spans="1:10" ht="18.75" x14ac:dyDescent="0.3">
      <c r="A3" s="30"/>
      <c r="B3" s="2"/>
      <c r="C3" s="2"/>
      <c r="D3" s="2"/>
      <c r="E3" s="2"/>
      <c r="F3" s="2"/>
      <c r="G3" s="2"/>
      <c r="H3" s="2"/>
      <c r="I3" s="32"/>
      <c r="J3" s="3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  <c r="I5" s="32"/>
      <c r="J5" s="3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25">
      <c r="A8" s="32"/>
      <c r="B8" s="1" t="s">
        <v>3</v>
      </c>
      <c r="C8" s="32" t="s">
        <v>4</v>
      </c>
      <c r="D8" s="32"/>
      <c r="E8" s="32"/>
      <c r="F8" s="32"/>
      <c r="G8" s="32"/>
      <c r="H8" s="32"/>
      <c r="I8" s="32"/>
      <c r="J8" s="32"/>
    </row>
    <row r="9" spans="1:10" x14ac:dyDescent="0.25">
      <c r="A9" s="32"/>
      <c r="B9" s="33" t="s">
        <v>26</v>
      </c>
      <c r="C9" s="43">
        <v>4</v>
      </c>
      <c r="D9" s="32"/>
      <c r="E9" s="32"/>
      <c r="F9" s="32"/>
      <c r="G9" s="32"/>
      <c r="H9" s="32"/>
      <c r="I9" s="32"/>
      <c r="J9" s="32"/>
    </row>
    <row r="10" spans="1:10" x14ac:dyDescent="0.25">
      <c r="A10" s="32"/>
      <c r="B10" s="33" t="s">
        <v>27</v>
      </c>
      <c r="C10" s="44">
        <v>0.04</v>
      </c>
      <c r="D10" s="32"/>
      <c r="E10" s="32"/>
      <c r="F10" s="32"/>
      <c r="G10" s="32"/>
      <c r="H10" s="32"/>
      <c r="I10" s="32"/>
      <c r="J10" s="32"/>
    </row>
    <row r="11" spans="1:10" x14ac:dyDescent="0.25">
      <c r="A11" s="8" t="s">
        <v>4</v>
      </c>
      <c r="B11" s="33" t="s">
        <v>24</v>
      </c>
      <c r="C11" s="44">
        <v>0.14000000000000001</v>
      </c>
      <c r="D11" s="32"/>
      <c r="E11" s="32"/>
      <c r="F11" s="32"/>
      <c r="G11" s="32"/>
      <c r="H11" s="32"/>
      <c r="I11" s="32"/>
      <c r="J11" s="32"/>
    </row>
    <row r="12" spans="1:10" x14ac:dyDescent="0.25">
      <c r="A12" s="10"/>
      <c r="B12" s="32"/>
      <c r="C12" s="32"/>
      <c r="D12" s="32"/>
      <c r="E12" s="32"/>
      <c r="F12" s="32"/>
      <c r="G12" s="32"/>
      <c r="H12" s="32"/>
      <c r="I12" s="32"/>
      <c r="J12" s="32"/>
    </row>
    <row r="13" spans="1:10" x14ac:dyDescent="0.25">
      <c r="A13" s="10"/>
      <c r="B13" s="32"/>
      <c r="C13" s="32"/>
      <c r="D13" s="32"/>
      <c r="E13" s="32"/>
      <c r="F13" s="32"/>
      <c r="G13" s="32"/>
      <c r="H13" s="32"/>
      <c r="I13" s="32"/>
      <c r="J13" s="32"/>
    </row>
    <row r="14" spans="1:10" x14ac:dyDescent="0.25">
      <c r="A14" s="10"/>
      <c r="B14" s="32"/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10"/>
      <c r="B15" s="32"/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10"/>
      <c r="B16" s="7"/>
      <c r="C16" s="11"/>
      <c r="D16" s="12"/>
      <c r="E16" s="9"/>
      <c r="F16" s="32"/>
      <c r="G16" s="32"/>
      <c r="H16" s="32"/>
      <c r="I16" s="32"/>
      <c r="J16" s="32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B18" s="32"/>
      <c r="C18" s="32"/>
      <c r="D18" s="32"/>
      <c r="E18" s="32"/>
      <c r="F18" s="32"/>
      <c r="G18" s="32"/>
      <c r="H18" s="18"/>
      <c r="I18" s="32"/>
      <c r="J18" s="32"/>
    </row>
    <row r="19" spans="1:10" x14ac:dyDescent="0.25">
      <c r="A19" s="10"/>
      <c r="B19" s="1" t="s">
        <v>5</v>
      </c>
      <c r="C19" s="32"/>
      <c r="D19" s="32"/>
      <c r="E19" s="32"/>
      <c r="F19" s="32"/>
      <c r="G19" s="32"/>
      <c r="H19" s="32"/>
      <c r="I19" s="32"/>
      <c r="J19" s="32"/>
    </row>
    <row r="20" spans="1:10" x14ac:dyDescent="0.25">
      <c r="A20" s="10"/>
      <c r="B20" s="33" t="s">
        <v>28</v>
      </c>
      <c r="C20" s="38">
        <f>C9/(C11-C10)</f>
        <v>40</v>
      </c>
      <c r="D20" s="32"/>
      <c r="E20" s="32"/>
      <c r="F20" s="32"/>
      <c r="G20" s="32"/>
      <c r="H20" s="32"/>
      <c r="I20" s="32"/>
      <c r="J20" s="32"/>
    </row>
    <row r="21" spans="1:10" x14ac:dyDescent="0.25">
      <c r="A21" s="10"/>
      <c r="B21" s="32"/>
      <c r="C21" s="32"/>
      <c r="D21" s="32"/>
      <c r="E21" s="32"/>
      <c r="F21" s="32"/>
      <c r="G21" s="32"/>
      <c r="H21" s="32"/>
      <c r="I21" s="32"/>
      <c r="J21" s="32"/>
    </row>
    <row r="22" spans="1:10" x14ac:dyDescent="0.25">
      <c r="A22" s="10"/>
      <c r="B22" s="32"/>
      <c r="C22" s="32"/>
      <c r="D22" s="32"/>
      <c r="E22" s="93"/>
      <c r="F22" s="93"/>
      <c r="G22" s="19"/>
      <c r="H22" s="32"/>
      <c r="I22" s="32"/>
      <c r="J22" s="32"/>
    </row>
    <row r="23" spans="1:10" x14ac:dyDescent="0.25">
      <c r="A23" s="10"/>
      <c r="B23" s="32"/>
      <c r="C23" s="32"/>
      <c r="D23" s="32"/>
      <c r="E23" s="32"/>
      <c r="F23" s="32"/>
      <c r="G23" s="19"/>
      <c r="H23" s="32"/>
      <c r="I23" s="32"/>
      <c r="J23" s="32"/>
    </row>
    <row r="24" spans="1:10" x14ac:dyDescent="0.25">
      <c r="A24" s="10"/>
      <c r="B24" s="32"/>
      <c r="C24" s="32"/>
      <c r="D24" s="32"/>
      <c r="E24" s="94"/>
      <c r="F24" s="94"/>
      <c r="G24" s="19"/>
      <c r="H24" s="32"/>
      <c r="I24" s="32"/>
      <c r="J24" s="32"/>
    </row>
    <row r="25" spans="1:10" x14ac:dyDescent="0.25">
      <c r="A25" s="10"/>
      <c r="B25" s="32"/>
      <c r="C25" s="32"/>
      <c r="D25" s="32"/>
      <c r="E25" s="32"/>
      <c r="F25" s="32"/>
      <c r="G25" s="19"/>
      <c r="H25" s="32"/>
      <c r="I25" s="32"/>
      <c r="J25" s="32"/>
    </row>
    <row r="26" spans="1:10" x14ac:dyDescent="0.25">
      <c r="A26" s="10"/>
      <c r="B26" s="32"/>
      <c r="C26" s="32"/>
      <c r="D26" s="32"/>
      <c r="E26" s="32"/>
      <c r="F26" s="32"/>
      <c r="G26" s="32"/>
      <c r="H26" s="32"/>
      <c r="I26" s="32"/>
      <c r="J26" s="32"/>
    </row>
    <row r="27" spans="1:10" x14ac:dyDescent="0.25">
      <c r="A27" s="10"/>
      <c r="B27" s="32"/>
      <c r="C27" s="32"/>
      <c r="D27" s="32"/>
      <c r="E27" s="32"/>
      <c r="F27" s="32"/>
      <c r="G27" s="32"/>
      <c r="H27" s="32"/>
      <c r="I27" s="32"/>
      <c r="J27" s="32"/>
    </row>
    <row r="28" spans="1:10" x14ac:dyDescent="0.25">
      <c r="A28" s="10"/>
      <c r="B28" s="32"/>
      <c r="C28" s="32"/>
      <c r="D28" s="32"/>
      <c r="E28" s="32"/>
      <c r="F28" s="32"/>
      <c r="G28" s="32"/>
      <c r="H28" s="32"/>
      <c r="I28" s="32"/>
      <c r="J28" s="32"/>
    </row>
    <row r="29" spans="1:10" x14ac:dyDescent="0.25">
      <c r="A29" s="10"/>
      <c r="B29" s="32"/>
      <c r="C29" s="32"/>
      <c r="D29" s="32"/>
      <c r="E29" s="32"/>
      <c r="F29" s="32"/>
      <c r="G29" s="32"/>
      <c r="H29" s="32"/>
      <c r="I29" s="32"/>
      <c r="J29" s="32"/>
    </row>
    <row r="30" spans="1:10" x14ac:dyDescent="0.25">
      <c r="A30" s="10"/>
      <c r="B30" s="32"/>
      <c r="C30" s="32"/>
      <c r="D30" s="32"/>
      <c r="E30" s="32"/>
      <c r="F30" s="32"/>
      <c r="G30" s="32"/>
      <c r="H30" s="32"/>
      <c r="I30" s="32"/>
      <c r="J30" s="32"/>
    </row>
    <row r="31" spans="1:10" x14ac:dyDescent="0.25">
      <c r="A31" s="10"/>
      <c r="B31" s="20"/>
      <c r="C31" s="21"/>
      <c r="D31" s="32"/>
      <c r="E31" s="32"/>
      <c r="F31" s="32"/>
      <c r="G31" s="32"/>
      <c r="H31" s="32"/>
      <c r="I31" s="32"/>
      <c r="J31" s="32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  <c r="D33" s="32"/>
      <c r="E33" s="32"/>
      <c r="F33" s="32"/>
      <c r="G33" s="32"/>
      <c r="H33" s="32"/>
      <c r="I33" s="32"/>
      <c r="J33" s="32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</sheetData>
  <mergeCells count="2">
    <mergeCell ref="E22:F22"/>
    <mergeCell ref="E24:F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C25" sqref="C25"/>
    </sheetView>
  </sheetViews>
  <sheetFormatPr defaultRowHeight="15" x14ac:dyDescent="0.25"/>
  <cols>
    <col min="1" max="1" width="11.7109375" customWidth="1"/>
    <col min="2" max="2" width="23.7109375" customWidth="1"/>
    <col min="3" max="3" width="11.140625" bestFit="1" customWidth="1"/>
  </cols>
  <sheetData>
    <row r="1" spans="1:10" s="1" customFormat="1" x14ac:dyDescent="0.25">
      <c r="A1" s="1" t="s">
        <v>64</v>
      </c>
    </row>
    <row r="2" spans="1:10" ht="18.75" x14ac:dyDescent="0.3">
      <c r="A2" s="30" t="s">
        <v>68</v>
      </c>
      <c r="B2" s="2"/>
      <c r="C2" s="2"/>
      <c r="D2" s="2"/>
      <c r="E2" s="2"/>
      <c r="F2" s="2"/>
      <c r="G2" s="2"/>
      <c r="H2" s="2"/>
      <c r="I2" s="32"/>
      <c r="J2" s="32"/>
    </row>
    <row r="3" spans="1:10" ht="18.75" x14ac:dyDescent="0.3">
      <c r="A3" s="30"/>
      <c r="B3" s="2"/>
      <c r="C3" s="2"/>
      <c r="D3" s="2"/>
      <c r="E3" s="2"/>
      <c r="F3" s="2"/>
      <c r="G3" s="2"/>
      <c r="H3" s="2"/>
      <c r="I3" s="32"/>
      <c r="J3" s="3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  <c r="I5" s="32"/>
      <c r="J5" s="3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25">
      <c r="A8" s="32"/>
      <c r="B8" s="1" t="s">
        <v>3</v>
      </c>
      <c r="C8" s="32" t="s">
        <v>4</v>
      </c>
      <c r="D8" s="32"/>
      <c r="E8" s="32"/>
      <c r="F8" s="32"/>
      <c r="G8" s="32"/>
      <c r="H8" s="32"/>
      <c r="I8" s="32"/>
      <c r="J8" s="32"/>
    </row>
    <row r="9" spans="1:10" x14ac:dyDescent="0.25">
      <c r="A9" s="32"/>
      <c r="B9" s="33" t="s">
        <v>8</v>
      </c>
      <c r="C9" s="44">
        <v>0.1</v>
      </c>
      <c r="D9" s="32"/>
      <c r="E9" s="32"/>
      <c r="F9" s="32"/>
      <c r="G9" s="32"/>
      <c r="H9" s="32"/>
      <c r="I9" s="32"/>
      <c r="J9" s="32"/>
    </row>
    <row r="10" spans="1:10" x14ac:dyDescent="0.25">
      <c r="A10" s="32"/>
      <c r="B10" s="33" t="s">
        <v>29</v>
      </c>
      <c r="C10" s="43">
        <v>1</v>
      </c>
      <c r="D10" s="32"/>
      <c r="E10" s="32"/>
      <c r="F10" s="32"/>
      <c r="G10" s="32"/>
      <c r="H10" s="32"/>
      <c r="I10" s="32"/>
      <c r="J10" s="32"/>
    </row>
    <row r="11" spans="1:10" x14ac:dyDescent="0.25">
      <c r="A11" s="8" t="s">
        <v>4</v>
      </c>
      <c r="B11" s="33" t="s">
        <v>30</v>
      </c>
      <c r="C11" s="53">
        <v>1</v>
      </c>
      <c r="D11" s="32"/>
      <c r="E11" s="32"/>
      <c r="F11" s="32"/>
      <c r="G11" s="32"/>
      <c r="H11" s="32"/>
      <c r="I11" s="32"/>
      <c r="J11" s="32"/>
    </row>
    <row r="12" spans="1:10" x14ac:dyDescent="0.25">
      <c r="A12" s="10"/>
      <c r="B12" s="33" t="s">
        <v>31</v>
      </c>
      <c r="C12" s="45">
        <v>8</v>
      </c>
      <c r="D12" s="32"/>
      <c r="E12" s="32"/>
      <c r="F12" s="32"/>
      <c r="G12" s="32"/>
      <c r="H12" s="32"/>
      <c r="I12" s="32"/>
      <c r="J12" s="32"/>
    </row>
    <row r="13" spans="1:10" x14ac:dyDescent="0.25">
      <c r="A13" s="10"/>
      <c r="B13" s="33" t="s">
        <v>32</v>
      </c>
      <c r="C13" s="43">
        <v>1</v>
      </c>
      <c r="D13" s="32"/>
      <c r="E13" s="32"/>
      <c r="F13" s="32"/>
      <c r="G13" s="32"/>
      <c r="H13" s="32"/>
      <c r="I13" s="32"/>
      <c r="J13" s="32"/>
    </row>
    <row r="14" spans="1:10" x14ac:dyDescent="0.25">
      <c r="A14" s="10"/>
      <c r="B14" s="33" t="s">
        <v>33</v>
      </c>
      <c r="C14" s="45">
        <v>7</v>
      </c>
      <c r="D14" s="32"/>
      <c r="E14" s="32"/>
      <c r="F14" s="32"/>
      <c r="G14" s="32"/>
      <c r="H14" s="32"/>
      <c r="I14" s="32"/>
      <c r="J14" s="32"/>
    </row>
    <row r="15" spans="1:10" x14ac:dyDescent="0.25">
      <c r="A15" s="10"/>
      <c r="B15" s="33" t="s">
        <v>34</v>
      </c>
      <c r="C15" s="44">
        <v>0.05</v>
      </c>
      <c r="D15" s="32"/>
      <c r="E15" s="32"/>
      <c r="F15" s="32"/>
      <c r="G15" s="32"/>
      <c r="H15" s="32"/>
      <c r="I15" s="32"/>
      <c r="J15" s="32"/>
    </row>
    <row r="16" spans="1:10" x14ac:dyDescent="0.25">
      <c r="A16" s="10"/>
      <c r="B16" s="7" t="s">
        <v>35</v>
      </c>
      <c r="C16" s="43">
        <v>10000</v>
      </c>
      <c r="D16" s="12"/>
      <c r="E16" s="9"/>
      <c r="F16" s="32"/>
      <c r="G16" s="32"/>
      <c r="H16" s="32"/>
      <c r="I16" s="32"/>
      <c r="J16" s="32"/>
    </row>
    <row r="17" spans="1:10" s="33" customFormat="1" x14ac:dyDescent="0.25">
      <c r="A17" s="10"/>
      <c r="B17" s="7"/>
      <c r="C17" s="11"/>
      <c r="D17" s="12"/>
      <c r="E17" s="9"/>
    </row>
    <row r="18" spans="1:10" x14ac:dyDescent="0.25">
      <c r="A18" s="13"/>
      <c r="B18" s="14"/>
      <c r="C18" s="15"/>
      <c r="D18" s="13"/>
      <c r="E18" s="16"/>
      <c r="F18" s="17"/>
      <c r="G18" s="17"/>
      <c r="H18" s="17"/>
      <c r="I18" s="17"/>
      <c r="J18" s="17"/>
    </row>
    <row r="19" spans="1:10" x14ac:dyDescent="0.25">
      <c r="A19" s="10"/>
      <c r="B19" s="32"/>
      <c r="C19" s="32"/>
      <c r="D19" s="32"/>
      <c r="E19" s="32"/>
      <c r="F19" s="32"/>
      <c r="G19" s="32"/>
      <c r="H19" s="18"/>
      <c r="I19" s="32"/>
      <c r="J19" s="32"/>
    </row>
    <row r="20" spans="1:10" x14ac:dyDescent="0.25">
      <c r="A20" s="10"/>
      <c r="B20" s="1" t="s">
        <v>5</v>
      </c>
      <c r="C20" s="32"/>
      <c r="D20" s="32"/>
      <c r="E20" s="32"/>
      <c r="F20" s="32"/>
      <c r="G20" s="32"/>
      <c r="H20" s="32"/>
      <c r="I20" s="32"/>
      <c r="J20" s="32"/>
    </row>
    <row r="21" spans="1:10" x14ac:dyDescent="0.25">
      <c r="A21" s="10"/>
      <c r="B21" s="1" t="s">
        <v>36</v>
      </c>
      <c r="C21" s="32"/>
      <c r="D21" s="32"/>
      <c r="E21" s="32"/>
      <c r="F21" s="32"/>
      <c r="G21" s="32"/>
      <c r="H21" s="32"/>
      <c r="I21" s="32"/>
      <c r="J21" s="32"/>
    </row>
    <row r="22" spans="1:10" x14ac:dyDescent="0.25">
      <c r="A22" s="10"/>
      <c r="B22" s="33" t="s">
        <v>40</v>
      </c>
      <c r="C22" s="38">
        <f>C10/C9</f>
        <v>10</v>
      </c>
      <c r="D22" s="32"/>
      <c r="E22" s="32"/>
      <c r="F22" s="32"/>
      <c r="G22" s="32"/>
      <c r="H22" s="32"/>
      <c r="I22" s="32"/>
      <c r="J22" s="32"/>
    </row>
    <row r="23" spans="1:10" x14ac:dyDescent="0.25">
      <c r="A23" s="10"/>
      <c r="B23" s="32"/>
      <c r="C23" s="32"/>
      <c r="D23" s="32"/>
      <c r="E23" s="93"/>
      <c r="F23" s="93"/>
      <c r="G23" s="19"/>
      <c r="H23" s="32"/>
      <c r="I23" s="32"/>
      <c r="J23" s="32"/>
    </row>
    <row r="24" spans="1:10" x14ac:dyDescent="0.25">
      <c r="A24" s="10"/>
      <c r="B24" s="1" t="s">
        <v>37</v>
      </c>
      <c r="C24" s="32"/>
      <c r="D24" s="32"/>
      <c r="E24" s="32"/>
      <c r="F24" s="32"/>
      <c r="G24" s="19"/>
      <c r="H24" s="32"/>
      <c r="I24" s="32"/>
      <c r="J24" s="32"/>
    </row>
    <row r="25" spans="1:10" x14ac:dyDescent="0.25">
      <c r="A25" s="10"/>
      <c r="B25" s="40" t="s">
        <v>38</v>
      </c>
      <c r="C25" s="41">
        <f>C22/2</f>
        <v>5</v>
      </c>
      <c r="D25" s="32"/>
      <c r="E25" s="94"/>
      <c r="F25" s="94"/>
      <c r="G25" s="19"/>
      <c r="H25" s="32"/>
      <c r="I25" s="32"/>
      <c r="J25" s="32"/>
    </row>
    <row r="26" spans="1:10" x14ac:dyDescent="0.25">
      <c r="A26" s="10"/>
      <c r="B26" s="32"/>
      <c r="C26" s="32"/>
      <c r="D26" s="32"/>
      <c r="E26" s="32"/>
      <c r="F26" s="32"/>
      <c r="G26" s="19"/>
      <c r="H26" s="32"/>
      <c r="I26" s="32"/>
      <c r="J26" s="32"/>
    </row>
    <row r="27" spans="1:10" x14ac:dyDescent="0.25">
      <c r="A27" s="10"/>
      <c r="B27" s="1" t="s">
        <v>39</v>
      </c>
      <c r="C27" s="32"/>
      <c r="D27" s="32"/>
      <c r="E27" s="32"/>
      <c r="F27" s="32"/>
      <c r="G27" s="32"/>
      <c r="H27" s="32"/>
      <c r="I27" s="32"/>
      <c r="J27" s="32"/>
    </row>
    <row r="28" spans="1:10" x14ac:dyDescent="0.25">
      <c r="A28" s="10"/>
      <c r="B28" s="33" t="s">
        <v>40</v>
      </c>
      <c r="C28" s="41">
        <f>C13*((1-(1/(1+C9)^C14))/C9)</f>
        <v>4.8684188176929348</v>
      </c>
      <c r="D28" s="32"/>
      <c r="E28" s="32"/>
      <c r="F28" s="32"/>
      <c r="G28" s="32"/>
      <c r="H28" s="32"/>
      <c r="I28" s="32"/>
      <c r="J28" s="32"/>
    </row>
    <row r="29" spans="1:10" x14ac:dyDescent="0.25">
      <c r="A29" s="10"/>
      <c r="B29" s="32"/>
      <c r="C29" s="32"/>
      <c r="D29" s="32"/>
      <c r="E29" s="32"/>
      <c r="F29" s="32"/>
      <c r="G29" s="32"/>
      <c r="H29" s="32"/>
      <c r="I29" s="32"/>
      <c r="J29" s="32"/>
    </row>
    <row r="30" spans="1:10" x14ac:dyDescent="0.25">
      <c r="A30" s="10"/>
      <c r="B30" s="1" t="s">
        <v>41</v>
      </c>
      <c r="C30" s="32"/>
      <c r="D30" s="32"/>
      <c r="E30" s="32"/>
      <c r="F30" s="32"/>
      <c r="G30" s="32"/>
      <c r="H30" s="32"/>
      <c r="I30" s="32"/>
      <c r="J30" s="32"/>
    </row>
    <row r="31" spans="1:10" x14ac:dyDescent="0.25">
      <c r="A31" s="10"/>
      <c r="B31" s="33" t="s">
        <v>42</v>
      </c>
      <c r="C31" s="41">
        <f>C16/(C9-C15)</f>
        <v>200000</v>
      </c>
      <c r="D31" s="32"/>
      <c r="E31" s="32"/>
      <c r="F31" s="32"/>
      <c r="G31" s="32"/>
      <c r="H31" s="32"/>
      <c r="I31" s="32"/>
      <c r="J31" s="32"/>
    </row>
    <row r="32" spans="1:10" x14ac:dyDescent="0.25">
      <c r="A32" s="10"/>
      <c r="B32" s="20"/>
      <c r="C32" s="21"/>
      <c r="D32" s="32"/>
      <c r="E32" s="32"/>
      <c r="F32" s="32"/>
      <c r="G32" s="32"/>
      <c r="H32" s="32"/>
      <c r="I32" s="32"/>
      <c r="J32" s="32"/>
    </row>
    <row r="33" spans="1:10" x14ac:dyDescent="0.25">
      <c r="A33" s="13"/>
      <c r="B33" s="22"/>
      <c r="C33" s="23"/>
      <c r="D33" s="17"/>
      <c r="E33" s="17"/>
      <c r="F33" s="17"/>
      <c r="G33" s="17"/>
      <c r="H33" s="17"/>
      <c r="I33" s="17"/>
      <c r="J33" s="17"/>
    </row>
    <row r="34" spans="1:10" x14ac:dyDescent="0.25">
      <c r="A34" s="10"/>
      <c r="B34" s="20"/>
      <c r="C34" s="24"/>
      <c r="D34" s="32"/>
      <c r="E34" s="32"/>
      <c r="F34" s="32"/>
      <c r="G34" s="32"/>
      <c r="H34" s="32"/>
      <c r="I34" s="32"/>
      <c r="J34" s="32"/>
    </row>
    <row r="35" spans="1:10" x14ac:dyDescent="0.25">
      <c r="A35" s="6"/>
      <c r="B35" s="25" t="s">
        <v>6</v>
      </c>
      <c r="C35" s="6"/>
      <c r="D35" s="6"/>
      <c r="E35" s="6"/>
      <c r="F35" s="6"/>
      <c r="G35" s="6"/>
      <c r="H35" s="6"/>
      <c r="I35" s="6"/>
      <c r="J35" s="6"/>
    </row>
  </sheetData>
  <mergeCells count="2">
    <mergeCell ref="E23:F23"/>
    <mergeCell ref="E25:F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4" workbookViewId="0">
      <selection activeCell="C20" sqref="C20"/>
    </sheetView>
  </sheetViews>
  <sheetFormatPr defaultRowHeight="15" x14ac:dyDescent="0.25"/>
  <cols>
    <col min="1" max="1" width="13.42578125" customWidth="1"/>
    <col min="2" max="2" width="26.140625" customWidth="1"/>
  </cols>
  <sheetData>
    <row r="1" spans="1:10" s="1" customFormat="1" x14ac:dyDescent="0.25">
      <c r="A1" s="1" t="s">
        <v>64</v>
      </c>
    </row>
    <row r="2" spans="1:10" ht="18.75" x14ac:dyDescent="0.3">
      <c r="A2" s="30" t="s">
        <v>67</v>
      </c>
      <c r="B2" s="2"/>
      <c r="C2" s="2"/>
      <c r="D2" s="2"/>
      <c r="E2" s="2"/>
      <c r="F2" s="2"/>
      <c r="G2" s="2"/>
      <c r="H2" s="2"/>
      <c r="I2" s="32"/>
      <c r="J2" s="32"/>
    </row>
    <row r="3" spans="1:10" ht="18.75" x14ac:dyDescent="0.3">
      <c r="A3" s="30"/>
      <c r="B3" s="2"/>
      <c r="C3" s="2"/>
      <c r="D3" s="2"/>
      <c r="E3" s="2"/>
      <c r="F3" s="2"/>
      <c r="G3" s="2"/>
      <c r="H3" s="2"/>
      <c r="I3" s="32"/>
      <c r="J3" s="3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  <c r="I5" s="32"/>
      <c r="J5" s="3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25">
      <c r="A8" s="32"/>
      <c r="B8" s="1" t="s">
        <v>3</v>
      </c>
      <c r="C8" s="32" t="s">
        <v>4</v>
      </c>
      <c r="D8" s="32"/>
      <c r="E8" s="32"/>
      <c r="F8" s="32"/>
      <c r="G8" s="32"/>
      <c r="H8" s="32"/>
      <c r="I8" s="32"/>
      <c r="J8" s="32"/>
    </row>
    <row r="9" spans="1:10" x14ac:dyDescent="0.25">
      <c r="A9" s="32"/>
      <c r="B9" s="33" t="s">
        <v>10</v>
      </c>
      <c r="C9" s="43">
        <v>100</v>
      </c>
      <c r="D9" s="32"/>
      <c r="E9" s="32"/>
      <c r="F9" s="32"/>
      <c r="G9" s="32"/>
      <c r="H9" s="32"/>
      <c r="I9" s="32"/>
      <c r="J9" s="32"/>
    </row>
    <row r="10" spans="1:10" x14ac:dyDescent="0.25">
      <c r="A10" s="32"/>
      <c r="B10" s="33" t="s">
        <v>43</v>
      </c>
      <c r="C10" s="45">
        <v>10</v>
      </c>
      <c r="D10" s="32"/>
      <c r="E10" s="32"/>
      <c r="F10" s="32"/>
      <c r="G10" s="32"/>
      <c r="H10" s="32"/>
      <c r="I10" s="32"/>
      <c r="J10" s="32"/>
    </row>
    <row r="11" spans="1:10" x14ac:dyDescent="0.25">
      <c r="A11" s="8" t="s">
        <v>4</v>
      </c>
      <c r="B11" s="33" t="s">
        <v>44</v>
      </c>
      <c r="C11" s="44">
        <v>0.01</v>
      </c>
      <c r="D11" s="32"/>
      <c r="E11" s="32"/>
      <c r="F11" s="32"/>
      <c r="G11" s="32"/>
      <c r="H11" s="32"/>
      <c r="I11" s="32"/>
      <c r="J11" s="32"/>
    </row>
    <row r="12" spans="1:10" x14ac:dyDescent="0.25">
      <c r="A12" s="10"/>
      <c r="B12" s="33" t="s">
        <v>45</v>
      </c>
      <c r="C12" s="45">
        <v>10</v>
      </c>
      <c r="D12" s="32"/>
      <c r="E12" s="32"/>
      <c r="F12" s="32"/>
      <c r="G12" s="32"/>
      <c r="H12" s="32"/>
      <c r="I12" s="32"/>
      <c r="J12" s="32"/>
    </row>
    <row r="13" spans="1:10" x14ac:dyDescent="0.25">
      <c r="A13" s="10"/>
      <c r="B13" s="33" t="s">
        <v>46</v>
      </c>
      <c r="C13" s="44">
        <v>0.13</v>
      </c>
      <c r="D13" s="32"/>
      <c r="E13" s="32"/>
      <c r="F13" s="32"/>
      <c r="G13" s="32"/>
      <c r="H13" s="32"/>
      <c r="I13" s="32"/>
      <c r="J13" s="32"/>
    </row>
    <row r="14" spans="1:10" x14ac:dyDescent="0.25">
      <c r="A14" s="10"/>
      <c r="B14" s="33" t="s">
        <v>47</v>
      </c>
      <c r="C14" s="45">
        <v>15</v>
      </c>
      <c r="D14" s="32"/>
      <c r="E14" s="32"/>
      <c r="F14" s="32"/>
      <c r="G14" s="32"/>
      <c r="H14" s="32"/>
      <c r="I14" s="32"/>
      <c r="J14" s="32"/>
    </row>
    <row r="15" spans="1:10" x14ac:dyDescent="0.25">
      <c r="A15" s="10"/>
      <c r="B15" s="33" t="s">
        <v>48</v>
      </c>
      <c r="C15" s="44">
        <v>0.25</v>
      </c>
      <c r="D15" s="32"/>
      <c r="E15" s="32"/>
      <c r="F15" s="32"/>
      <c r="G15" s="32"/>
      <c r="H15" s="32"/>
      <c r="I15" s="32"/>
      <c r="J15" s="32"/>
    </row>
    <row r="16" spans="1:10" s="33" customFormat="1" x14ac:dyDescent="0.25">
      <c r="A16" s="10"/>
      <c r="B16" s="33" t="s">
        <v>49</v>
      </c>
      <c r="C16" s="45">
        <v>1</v>
      </c>
    </row>
    <row r="17" spans="1:10" s="33" customFormat="1" x14ac:dyDescent="0.25">
      <c r="A17" s="10"/>
      <c r="B17" s="33" t="s">
        <v>49</v>
      </c>
      <c r="C17" s="56">
        <v>2</v>
      </c>
    </row>
    <row r="18" spans="1:10" s="33" customFormat="1" x14ac:dyDescent="0.25">
      <c r="A18" s="10"/>
      <c r="B18" s="33" t="s">
        <v>49</v>
      </c>
      <c r="C18" s="45">
        <v>3</v>
      </c>
    </row>
    <row r="19" spans="1:10" s="33" customFormat="1" x14ac:dyDescent="0.25">
      <c r="A19" s="10"/>
      <c r="B19" s="33" t="s">
        <v>50</v>
      </c>
      <c r="C19" s="44">
        <v>0.12</v>
      </c>
    </row>
    <row r="20" spans="1:10" x14ac:dyDescent="0.25">
      <c r="A20" s="10"/>
      <c r="B20" s="7"/>
      <c r="C20" s="11"/>
      <c r="D20" s="12"/>
      <c r="E20" s="9"/>
      <c r="F20" s="32"/>
      <c r="G20" s="32"/>
      <c r="H20" s="32"/>
      <c r="I20" s="32"/>
      <c r="J20" s="32"/>
    </row>
    <row r="21" spans="1:10" x14ac:dyDescent="0.25">
      <c r="A21" s="13"/>
      <c r="B21" s="14"/>
      <c r="C21" s="15"/>
      <c r="D21" s="13"/>
      <c r="E21" s="16"/>
      <c r="F21" s="17"/>
      <c r="G21" s="17"/>
      <c r="H21" s="17"/>
      <c r="I21" s="17"/>
      <c r="J21" s="17"/>
    </row>
    <row r="22" spans="1:10" x14ac:dyDescent="0.25">
      <c r="A22" s="10"/>
      <c r="B22" s="32"/>
      <c r="C22" s="32"/>
      <c r="D22" s="32"/>
      <c r="E22" s="32"/>
      <c r="F22" s="32"/>
      <c r="G22" s="32"/>
      <c r="H22" s="18"/>
      <c r="I22" s="32"/>
      <c r="J22" s="32"/>
    </row>
    <row r="23" spans="1:10" x14ac:dyDescent="0.25">
      <c r="A23" s="10"/>
      <c r="B23" s="1" t="s">
        <v>5</v>
      </c>
      <c r="C23" s="32"/>
      <c r="D23" s="32"/>
      <c r="E23" s="32"/>
      <c r="F23" s="32"/>
      <c r="G23" s="32"/>
      <c r="H23" s="32"/>
      <c r="I23" s="32"/>
      <c r="J23" s="32"/>
    </row>
    <row r="24" spans="1:10" x14ac:dyDescent="0.25">
      <c r="A24" s="10"/>
      <c r="B24" s="1" t="s">
        <v>36</v>
      </c>
      <c r="C24" s="32"/>
      <c r="D24" s="32"/>
      <c r="E24" s="32"/>
      <c r="F24" s="32"/>
      <c r="G24" s="32"/>
      <c r="H24" s="32"/>
      <c r="I24" s="32"/>
      <c r="J24" s="32"/>
    </row>
    <row r="25" spans="1:10" x14ac:dyDescent="0.25">
      <c r="A25" s="10"/>
      <c r="B25" s="33" t="s">
        <v>40</v>
      </c>
      <c r="C25" s="38">
        <f>C9/(1+C11)^C10</f>
        <v>90.528695469298313</v>
      </c>
      <c r="D25" s="32"/>
      <c r="E25" s="32"/>
      <c r="F25" s="32"/>
      <c r="G25" s="32"/>
      <c r="H25" s="32"/>
      <c r="I25" s="32"/>
      <c r="J25" s="32"/>
    </row>
    <row r="26" spans="1:10" x14ac:dyDescent="0.25">
      <c r="A26" s="10"/>
      <c r="B26" s="32"/>
      <c r="C26" s="38"/>
      <c r="D26" s="32"/>
      <c r="E26" s="93"/>
      <c r="F26" s="93"/>
      <c r="G26" s="19"/>
      <c r="H26" s="32"/>
      <c r="I26" s="32"/>
      <c r="J26" s="32"/>
    </row>
    <row r="27" spans="1:10" x14ac:dyDescent="0.25">
      <c r="A27" s="10"/>
      <c r="B27" s="1" t="s">
        <v>37</v>
      </c>
      <c r="C27" s="38"/>
      <c r="D27" s="32"/>
      <c r="E27" s="32"/>
      <c r="F27" s="32"/>
      <c r="G27" s="19"/>
      <c r="H27" s="32"/>
      <c r="I27" s="32"/>
      <c r="J27" s="32"/>
    </row>
    <row r="28" spans="1:10" x14ac:dyDescent="0.25">
      <c r="A28" s="10"/>
      <c r="B28" s="40" t="s">
        <v>40</v>
      </c>
      <c r="C28" s="38">
        <f>C9/(1+C13)^C12</f>
        <v>29.458834812612551</v>
      </c>
      <c r="D28" s="32"/>
      <c r="E28" s="94"/>
      <c r="F28" s="94"/>
      <c r="G28" s="19"/>
      <c r="H28" s="32"/>
      <c r="I28" s="32"/>
      <c r="J28" s="32"/>
    </row>
    <row r="29" spans="1:10" x14ac:dyDescent="0.25">
      <c r="A29" s="10"/>
      <c r="B29" s="32"/>
      <c r="C29" s="38"/>
      <c r="D29" s="32"/>
      <c r="E29" s="32"/>
      <c r="F29" s="32"/>
      <c r="G29" s="19"/>
      <c r="H29" s="32"/>
      <c r="I29" s="32"/>
      <c r="J29" s="32"/>
    </row>
    <row r="30" spans="1:10" x14ac:dyDescent="0.25">
      <c r="A30" s="10"/>
      <c r="B30" s="1" t="s">
        <v>39</v>
      </c>
      <c r="C30" s="38"/>
      <c r="D30" s="32"/>
      <c r="E30" s="32"/>
      <c r="F30" s="32"/>
      <c r="G30" s="32"/>
      <c r="H30" s="32"/>
      <c r="I30" s="32"/>
      <c r="J30" s="32"/>
    </row>
    <row r="31" spans="1:10" x14ac:dyDescent="0.25">
      <c r="A31" s="10"/>
      <c r="B31" s="33" t="s">
        <v>40</v>
      </c>
      <c r="C31" s="38">
        <f>C9/(1+C15)^C14</f>
        <v>3.5184372088832001</v>
      </c>
      <c r="D31" s="32"/>
      <c r="E31" s="32"/>
      <c r="F31" s="32"/>
      <c r="G31" s="32"/>
      <c r="H31" s="32"/>
      <c r="I31" s="32"/>
      <c r="J31" s="32"/>
    </row>
    <row r="32" spans="1:10" x14ac:dyDescent="0.25">
      <c r="A32" s="10"/>
      <c r="B32" s="32"/>
      <c r="C32" s="38"/>
      <c r="D32" s="32"/>
      <c r="E32" s="32"/>
      <c r="F32" s="32"/>
      <c r="G32" s="32"/>
      <c r="H32" s="32"/>
      <c r="I32" s="32"/>
      <c r="J32" s="32"/>
    </row>
    <row r="33" spans="1:10" x14ac:dyDescent="0.25">
      <c r="A33" s="10"/>
      <c r="B33" s="1" t="s">
        <v>51</v>
      </c>
      <c r="C33" s="38"/>
      <c r="D33" s="32"/>
      <c r="E33" s="32"/>
      <c r="F33" s="32"/>
      <c r="G33" s="32"/>
      <c r="H33" s="32"/>
      <c r="I33" s="32"/>
      <c r="J33" s="32"/>
    </row>
    <row r="34" spans="1:10" x14ac:dyDescent="0.25">
      <c r="A34" s="10"/>
      <c r="B34" s="33" t="s">
        <v>40</v>
      </c>
      <c r="C34" s="38">
        <f>C9/(1+C19)^C16+C9/(1+C19)^C17+C9/(1+C19)^C18</f>
        <v>240.18312682215742</v>
      </c>
      <c r="D34" s="32"/>
      <c r="E34" s="32"/>
      <c r="F34" s="32"/>
      <c r="G34" s="32"/>
      <c r="H34" s="32"/>
      <c r="I34" s="32"/>
      <c r="J34" s="32"/>
    </row>
    <row r="35" spans="1:10" x14ac:dyDescent="0.25">
      <c r="A35" s="10"/>
      <c r="B35" s="20"/>
      <c r="C35" s="21"/>
      <c r="D35" s="32"/>
      <c r="E35" s="32"/>
      <c r="F35" s="32"/>
      <c r="G35" s="32"/>
      <c r="H35" s="32"/>
      <c r="I35" s="32"/>
      <c r="J35" s="32"/>
    </row>
    <row r="36" spans="1:10" x14ac:dyDescent="0.25">
      <c r="A36" s="13"/>
      <c r="B36" s="22"/>
      <c r="C36" s="23"/>
      <c r="D36" s="17"/>
      <c r="E36" s="17"/>
      <c r="F36" s="17"/>
      <c r="G36" s="17"/>
      <c r="H36" s="17"/>
      <c r="I36" s="17"/>
      <c r="J36" s="17"/>
    </row>
    <row r="37" spans="1:10" x14ac:dyDescent="0.25">
      <c r="A37" s="10"/>
      <c r="B37" s="20"/>
      <c r="C37" s="24"/>
      <c r="D37" s="32"/>
      <c r="E37" s="32"/>
      <c r="F37" s="32"/>
      <c r="G37" s="32"/>
      <c r="H37" s="32"/>
      <c r="I37" s="32"/>
      <c r="J37" s="32"/>
    </row>
    <row r="38" spans="1:10" x14ac:dyDescent="0.25">
      <c r="A38" s="6"/>
      <c r="B38" s="25" t="s">
        <v>6</v>
      </c>
      <c r="C38" s="6"/>
      <c r="D38" s="6"/>
      <c r="E38" s="6"/>
      <c r="F38" s="6"/>
      <c r="G38" s="6"/>
      <c r="H38" s="6"/>
      <c r="I38" s="6"/>
      <c r="J38" s="6"/>
    </row>
  </sheetData>
  <mergeCells count="2">
    <mergeCell ref="E26:F26"/>
    <mergeCell ref="E28:F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15" sqref="C15"/>
    </sheetView>
  </sheetViews>
  <sheetFormatPr defaultRowHeight="15" x14ac:dyDescent="0.25"/>
  <cols>
    <col min="1" max="1" width="12.5703125" customWidth="1"/>
    <col min="2" max="2" width="25.140625" customWidth="1"/>
    <col min="3" max="3" width="12.7109375" bestFit="1" customWidth="1"/>
  </cols>
  <sheetData>
    <row r="1" spans="1:10" s="1" customFormat="1" x14ac:dyDescent="0.25">
      <c r="A1" s="1" t="s">
        <v>64</v>
      </c>
    </row>
    <row r="2" spans="1:10" ht="18.75" x14ac:dyDescent="0.3">
      <c r="A2" s="30" t="s">
        <v>66</v>
      </c>
      <c r="B2" s="2"/>
      <c r="C2" s="2"/>
      <c r="D2" s="2"/>
      <c r="E2" s="2"/>
      <c r="F2" s="2"/>
      <c r="G2" s="2"/>
      <c r="H2" s="2"/>
      <c r="I2" s="32"/>
      <c r="J2" s="32"/>
    </row>
    <row r="3" spans="1:10" ht="18.75" x14ac:dyDescent="0.3">
      <c r="A3" s="30"/>
      <c r="B3" s="2"/>
      <c r="C3" s="2"/>
      <c r="D3" s="2"/>
      <c r="E3" s="2"/>
      <c r="F3" s="2"/>
      <c r="G3" s="2"/>
      <c r="H3" s="2"/>
      <c r="I3" s="32"/>
      <c r="J3" s="32"/>
    </row>
    <row r="4" spans="1:10" x14ac:dyDescent="0.25">
      <c r="A4" s="1"/>
      <c r="B4" s="3" t="s">
        <v>0</v>
      </c>
      <c r="C4" s="3"/>
      <c r="D4" s="3"/>
      <c r="E4" s="3"/>
      <c r="F4" s="3"/>
      <c r="G4" s="3"/>
      <c r="H4" s="3"/>
      <c r="I4" s="31"/>
      <c r="J4" s="31"/>
    </row>
    <row r="5" spans="1:10" x14ac:dyDescent="0.25">
      <c r="A5" s="1"/>
      <c r="B5" s="4" t="s">
        <v>1</v>
      </c>
      <c r="C5" s="2"/>
      <c r="D5" s="2"/>
      <c r="E5" s="2"/>
      <c r="F5" s="2"/>
      <c r="G5" s="2"/>
      <c r="H5" s="2"/>
      <c r="I5" s="32"/>
      <c r="J5" s="32"/>
    </row>
    <row r="6" spans="1:10" x14ac:dyDescent="0.25">
      <c r="A6" s="5"/>
      <c r="B6" s="5" t="s">
        <v>2</v>
      </c>
      <c r="C6" s="5"/>
      <c r="D6" s="5"/>
      <c r="E6" s="5"/>
      <c r="F6" s="5"/>
      <c r="G6" s="5"/>
      <c r="H6" s="5"/>
      <c r="I6" s="6"/>
      <c r="J6" s="6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25">
      <c r="A8" s="32"/>
      <c r="B8" s="1" t="s">
        <v>3</v>
      </c>
      <c r="C8" s="32" t="s">
        <v>4</v>
      </c>
      <c r="D8" s="32"/>
      <c r="E8" s="32"/>
      <c r="F8" s="32"/>
      <c r="G8" s="32"/>
      <c r="H8" s="32"/>
      <c r="I8" s="32"/>
      <c r="J8" s="32"/>
    </row>
    <row r="9" spans="1:10" x14ac:dyDescent="0.25">
      <c r="A9" s="32"/>
      <c r="B9" s="33" t="s">
        <v>8</v>
      </c>
      <c r="C9" s="44">
        <v>0.12</v>
      </c>
      <c r="D9" s="33" t="s">
        <v>58</v>
      </c>
      <c r="E9" s="32"/>
      <c r="F9" s="32"/>
      <c r="G9" s="32"/>
      <c r="H9" s="32"/>
      <c r="I9" s="32"/>
      <c r="J9" s="32"/>
    </row>
    <row r="10" spans="1:10" x14ac:dyDescent="0.25">
      <c r="A10" s="32"/>
      <c r="B10" s="33" t="s">
        <v>52</v>
      </c>
      <c r="C10" s="43">
        <v>1000</v>
      </c>
      <c r="D10" s="32"/>
      <c r="E10" s="32"/>
      <c r="F10" s="32"/>
      <c r="G10" s="32"/>
      <c r="H10" s="32"/>
      <c r="I10" s="32"/>
      <c r="J10" s="32"/>
    </row>
    <row r="11" spans="1:10" x14ac:dyDescent="0.25">
      <c r="A11" s="8" t="s">
        <v>4</v>
      </c>
      <c r="B11" s="33" t="s">
        <v>53</v>
      </c>
      <c r="C11" s="45">
        <v>5</v>
      </c>
      <c r="D11" s="32"/>
      <c r="E11" s="32"/>
      <c r="F11" s="32"/>
      <c r="G11" s="32"/>
      <c r="H11" s="32"/>
      <c r="I11" s="32"/>
      <c r="J11" s="32"/>
    </row>
    <row r="12" spans="1:10" x14ac:dyDescent="0.25">
      <c r="A12" s="10"/>
      <c r="B12" s="33" t="s">
        <v>54</v>
      </c>
      <c r="C12" s="53">
        <v>5000000</v>
      </c>
      <c r="D12" s="32"/>
      <c r="E12" s="32"/>
      <c r="F12" s="32"/>
      <c r="G12" s="32"/>
      <c r="H12" s="32"/>
      <c r="I12" s="32"/>
      <c r="J12" s="32"/>
    </row>
    <row r="13" spans="1:10" x14ac:dyDescent="0.25">
      <c r="A13" s="10"/>
      <c r="B13" s="33" t="s">
        <v>55</v>
      </c>
      <c r="C13" s="45">
        <v>8</v>
      </c>
      <c r="D13" s="32"/>
      <c r="E13" s="32"/>
      <c r="F13" s="32"/>
      <c r="G13" s="32"/>
      <c r="H13" s="32"/>
      <c r="I13" s="32"/>
      <c r="J13" s="32"/>
    </row>
    <row r="14" spans="1:10" x14ac:dyDescent="0.25">
      <c r="A14" s="10"/>
      <c r="B14" s="33" t="s">
        <v>56</v>
      </c>
      <c r="C14" s="43">
        <v>2000</v>
      </c>
      <c r="D14" s="32"/>
      <c r="E14" s="32"/>
      <c r="F14" s="32"/>
      <c r="G14" s="32"/>
      <c r="H14" s="32"/>
      <c r="I14" s="32"/>
      <c r="J14" s="32"/>
    </row>
    <row r="15" spans="1:10" x14ac:dyDescent="0.25">
      <c r="A15" s="10"/>
      <c r="B15" s="33" t="s">
        <v>33</v>
      </c>
      <c r="C15" s="45">
        <v>15</v>
      </c>
      <c r="D15" s="33" t="s">
        <v>57</v>
      </c>
      <c r="E15" s="32"/>
      <c r="F15" s="32"/>
      <c r="G15" s="32"/>
      <c r="H15" s="32"/>
      <c r="I15" s="32"/>
      <c r="J15" s="32"/>
    </row>
    <row r="16" spans="1:10" x14ac:dyDescent="0.25">
      <c r="A16" s="10"/>
      <c r="B16" s="7"/>
      <c r="C16" s="11"/>
      <c r="D16" s="12"/>
      <c r="E16" s="9"/>
      <c r="F16" s="32"/>
      <c r="G16" s="32"/>
      <c r="H16" s="32"/>
      <c r="I16" s="32"/>
      <c r="J16" s="32"/>
    </row>
    <row r="17" spans="1:10" x14ac:dyDescent="0.25">
      <c r="A17" s="13"/>
      <c r="B17" s="14"/>
      <c r="C17" s="15"/>
      <c r="D17" s="13"/>
      <c r="E17" s="16"/>
      <c r="F17" s="17"/>
      <c r="G17" s="17"/>
      <c r="H17" s="17"/>
      <c r="I17" s="17"/>
      <c r="J17" s="17"/>
    </row>
    <row r="18" spans="1:10" x14ac:dyDescent="0.25">
      <c r="A18" s="10"/>
      <c r="B18" s="32"/>
      <c r="C18" s="32"/>
      <c r="D18" s="32"/>
      <c r="E18" s="32"/>
      <c r="F18" s="32"/>
      <c r="G18" s="32"/>
      <c r="H18" s="18"/>
      <c r="I18" s="32"/>
      <c r="J18" s="32"/>
    </row>
    <row r="19" spans="1:10" x14ac:dyDescent="0.25">
      <c r="A19" s="10"/>
      <c r="B19" s="1" t="s">
        <v>5</v>
      </c>
      <c r="C19" s="32"/>
      <c r="D19" s="32"/>
      <c r="E19" s="32"/>
      <c r="F19" s="32"/>
      <c r="G19" s="32"/>
      <c r="H19" s="32"/>
      <c r="I19" s="32"/>
      <c r="J19" s="32"/>
    </row>
    <row r="20" spans="1:10" x14ac:dyDescent="0.25">
      <c r="A20" s="10"/>
      <c r="B20" s="1" t="s">
        <v>36</v>
      </c>
      <c r="C20" s="32"/>
      <c r="D20" s="32"/>
      <c r="E20" s="32"/>
      <c r="F20" s="32"/>
      <c r="G20" s="32"/>
      <c r="H20" s="32"/>
      <c r="I20" s="32"/>
      <c r="J20" s="32"/>
    </row>
    <row r="21" spans="1:10" x14ac:dyDescent="0.25">
      <c r="A21" s="10"/>
      <c r="B21" s="33" t="s">
        <v>10</v>
      </c>
      <c r="C21" s="38">
        <f>C10*EXP(C9*C11)</f>
        <v>1822.1188003905088</v>
      </c>
      <c r="D21" s="32"/>
      <c r="E21" s="32"/>
      <c r="F21" s="32"/>
      <c r="G21" s="32"/>
      <c r="H21" s="32"/>
      <c r="I21" s="32"/>
      <c r="J21" s="32"/>
    </row>
    <row r="22" spans="1:10" x14ac:dyDescent="0.25">
      <c r="A22" s="10"/>
      <c r="C22" s="42"/>
      <c r="D22" s="32"/>
      <c r="E22" s="93"/>
      <c r="F22" s="93"/>
      <c r="G22" s="19"/>
      <c r="H22" s="32"/>
      <c r="I22" s="32"/>
      <c r="J22" s="32"/>
    </row>
    <row r="23" spans="1:10" x14ac:dyDescent="0.25">
      <c r="A23" s="10"/>
      <c r="B23" s="1" t="s">
        <v>37</v>
      </c>
      <c r="C23" s="42"/>
      <c r="D23" s="32"/>
      <c r="E23" s="32"/>
      <c r="F23" s="32"/>
      <c r="G23" s="19"/>
      <c r="H23" s="32"/>
      <c r="I23" s="32"/>
      <c r="J23" s="32"/>
    </row>
    <row r="24" spans="1:10" x14ac:dyDescent="0.25">
      <c r="A24" s="10"/>
      <c r="B24" s="40" t="s">
        <v>40</v>
      </c>
      <c r="C24" s="41">
        <f>C12/EXP(C13*C9)</f>
        <v>1914464.4298755601</v>
      </c>
      <c r="D24" s="32"/>
      <c r="E24" s="94"/>
      <c r="F24" s="94"/>
      <c r="G24" s="19"/>
      <c r="H24" s="32"/>
      <c r="I24" s="32"/>
      <c r="J24" s="32"/>
    </row>
    <row r="25" spans="1:10" x14ac:dyDescent="0.25">
      <c r="A25" s="10"/>
      <c r="C25" s="42"/>
      <c r="D25" s="32"/>
      <c r="E25" s="32"/>
      <c r="F25" s="32"/>
      <c r="G25" s="19"/>
      <c r="H25" s="32"/>
      <c r="I25" s="32"/>
      <c r="J25" s="32"/>
    </row>
    <row r="26" spans="1:10" x14ac:dyDescent="0.25">
      <c r="A26" s="10"/>
      <c r="B26" s="1" t="s">
        <v>39</v>
      </c>
      <c r="C26" s="42"/>
      <c r="D26" s="32"/>
      <c r="E26" s="32"/>
      <c r="F26" s="32"/>
      <c r="G26" s="32"/>
      <c r="H26" s="32"/>
      <c r="I26" s="32"/>
      <c r="J26" s="32"/>
    </row>
    <row r="27" spans="1:10" x14ac:dyDescent="0.25">
      <c r="A27" s="10"/>
      <c r="B27" s="40" t="s">
        <v>40</v>
      </c>
      <c r="C27" s="38">
        <f>C14*((1/C9)-(1/(C9*EXP(C9*C15))))</f>
        <v>13911.685196306891</v>
      </c>
      <c r="D27" s="32"/>
      <c r="E27" s="32"/>
      <c r="F27" s="32"/>
      <c r="G27" s="32"/>
      <c r="H27" s="32"/>
      <c r="I27" s="32"/>
      <c r="J27" s="32"/>
    </row>
    <row r="28" spans="1:10" x14ac:dyDescent="0.25">
      <c r="A28" s="10"/>
      <c r="B28" s="32"/>
      <c r="C28" s="32"/>
      <c r="D28" s="32"/>
      <c r="E28" s="32"/>
      <c r="F28" s="32"/>
      <c r="G28" s="32"/>
      <c r="H28" s="32"/>
      <c r="I28" s="32"/>
      <c r="J28" s="32"/>
    </row>
    <row r="29" spans="1:10" x14ac:dyDescent="0.25">
      <c r="A29" s="10"/>
      <c r="B29" s="32"/>
      <c r="C29" s="32"/>
      <c r="D29" s="32"/>
      <c r="E29" s="32"/>
      <c r="F29" s="32"/>
      <c r="G29" s="32"/>
      <c r="H29" s="32"/>
      <c r="I29" s="32"/>
      <c r="J29" s="32"/>
    </row>
    <row r="30" spans="1:10" x14ac:dyDescent="0.25">
      <c r="A30" s="10"/>
      <c r="B30" s="32"/>
      <c r="C30" s="32"/>
      <c r="D30" s="32"/>
      <c r="E30" s="32"/>
      <c r="F30" s="32"/>
      <c r="G30" s="32"/>
      <c r="H30" s="32"/>
      <c r="I30" s="32"/>
      <c r="J30" s="32"/>
    </row>
    <row r="31" spans="1:10" x14ac:dyDescent="0.25">
      <c r="A31" s="10"/>
      <c r="B31" s="20"/>
      <c r="C31" s="21"/>
      <c r="D31" s="32"/>
      <c r="E31" s="32"/>
      <c r="F31" s="32"/>
      <c r="G31" s="32"/>
      <c r="H31" s="32"/>
      <c r="I31" s="32"/>
      <c r="J31" s="32"/>
    </row>
    <row r="32" spans="1:10" x14ac:dyDescent="0.25">
      <c r="A32" s="13"/>
      <c r="B32" s="22"/>
      <c r="C32" s="23"/>
      <c r="D32" s="17"/>
      <c r="E32" s="17"/>
      <c r="F32" s="17"/>
      <c r="G32" s="17"/>
      <c r="H32" s="17"/>
      <c r="I32" s="17"/>
      <c r="J32" s="17"/>
    </row>
    <row r="33" spans="1:10" x14ac:dyDescent="0.25">
      <c r="A33" s="10"/>
      <c r="B33" s="20"/>
      <c r="C33" s="24"/>
      <c r="D33" s="32"/>
      <c r="E33" s="32"/>
      <c r="F33" s="32"/>
      <c r="G33" s="32"/>
      <c r="H33" s="32"/>
      <c r="I33" s="32"/>
      <c r="J33" s="32"/>
    </row>
    <row r="34" spans="1:10" x14ac:dyDescent="0.25">
      <c r="A34" s="6"/>
      <c r="B34" s="25" t="s">
        <v>6</v>
      </c>
      <c r="C34" s="6"/>
      <c r="D34" s="6"/>
      <c r="E34" s="6"/>
      <c r="F34" s="6"/>
      <c r="G34" s="6"/>
      <c r="H34" s="6"/>
      <c r="I34" s="6"/>
      <c r="J34" s="6"/>
    </row>
  </sheetData>
  <mergeCells count="2">
    <mergeCell ref="E22:F22"/>
    <mergeCell ref="E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Pr 2-01</vt:lpstr>
      <vt:lpstr>Pr 2-02</vt:lpstr>
      <vt:lpstr>Pr 2-03</vt:lpstr>
      <vt:lpstr>Pr 2-04</vt:lpstr>
      <vt:lpstr>Pr 2-06</vt:lpstr>
      <vt:lpstr>Pr 2-07</vt:lpstr>
      <vt:lpstr>Pr 2-08</vt:lpstr>
      <vt:lpstr>Pr 2-09</vt:lpstr>
      <vt:lpstr>Pr 2-10</vt:lpstr>
      <vt:lpstr>Pr 2-11</vt:lpstr>
      <vt:lpstr>Pr 2-12</vt:lpstr>
      <vt:lpstr>Pr 2-13</vt:lpstr>
      <vt:lpstr>Pr 2-14</vt:lpstr>
      <vt:lpstr>Pr 2-15</vt:lpstr>
      <vt:lpstr>Pr 2-17</vt:lpstr>
      <vt:lpstr>Pr 2-18</vt:lpstr>
      <vt:lpstr>Pr 2-19</vt:lpstr>
      <vt:lpstr>Pr 2-20</vt:lpstr>
      <vt:lpstr>Pr 2-21</vt:lpstr>
      <vt:lpstr>Pr 2-22</vt:lpstr>
      <vt:lpstr>Pr 2-23</vt:lpstr>
      <vt:lpstr>Pr 2-24</vt:lpstr>
      <vt:lpstr>Pr 2-25</vt:lpstr>
      <vt:lpstr>Pr 2-26</vt:lpstr>
      <vt:lpstr>Pr 2-28</vt:lpstr>
      <vt:lpstr>Pr 2-29</vt:lpstr>
      <vt:lpstr>Pr 2-30</vt:lpstr>
      <vt:lpstr>Pr 2-31</vt:lpstr>
      <vt:lpstr>Pr 2-32</vt:lpstr>
      <vt:lpstr>Pr 2-33</vt:lpstr>
      <vt:lpstr>Pr 2-34</vt:lpstr>
      <vt:lpstr>Pr 2-35</vt:lpstr>
      <vt:lpstr>Pr 2-36</vt:lpstr>
      <vt:lpstr>Pr 2-37</vt:lpstr>
      <vt:lpstr>Pr 2-39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 Johnson</dc:creator>
  <cp:lastModifiedBy>Home</cp:lastModifiedBy>
  <cp:lastPrinted>2015-04-22T23:20:47Z</cp:lastPrinted>
  <dcterms:created xsi:type="dcterms:W3CDTF">2015-03-15T22:19:29Z</dcterms:created>
  <dcterms:modified xsi:type="dcterms:W3CDTF">2015-05-13T00:06:54Z</dcterms:modified>
</cp:coreProperties>
</file>