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580" windowHeight="9105" tabRatio="758"/>
  </bookViews>
  <sheets>
    <sheet name="2-1" sheetId="2" r:id="rId1"/>
    <sheet name="2-2" sheetId="3" r:id="rId2"/>
    <sheet name="2-3" sheetId="4" r:id="rId3"/>
    <sheet name="2-4" sheetId="6" r:id="rId4"/>
    <sheet name="2-5" sheetId="7" r:id="rId5"/>
    <sheet name="2-6" sheetId="8" r:id="rId6"/>
    <sheet name="2-7" sheetId="9" r:id="rId7"/>
    <sheet name="2-8" sheetId="10" r:id="rId8"/>
    <sheet name="2-9" sheetId="11" r:id="rId9"/>
    <sheet name="2-10" sheetId="12" r:id="rId10"/>
    <sheet name="2-11" sheetId="13" r:id="rId11"/>
    <sheet name="2-12" sheetId="14" r:id="rId12"/>
    <sheet name="2-13" sheetId="16" r:id="rId13"/>
    <sheet name="2-14" sheetId="17" r:id="rId14"/>
    <sheet name="2-15" sheetId="35" r:id="rId15"/>
    <sheet name="2-16" sheetId="34" r:id="rId16"/>
    <sheet name="2-17" sheetId="19" r:id="rId17"/>
    <sheet name="2-18" sheetId="20" r:id="rId18"/>
    <sheet name="2-19" sheetId="21" r:id="rId19"/>
    <sheet name="2-20" sheetId="22" r:id="rId20"/>
    <sheet name="2-21" sheetId="23" r:id="rId21"/>
    <sheet name="2-22" sheetId="24" r:id="rId22"/>
    <sheet name="2-23" sheetId="25" r:id="rId23"/>
    <sheet name="2-24" sheetId="26" r:id="rId24"/>
    <sheet name="2-25" sheetId="27" r:id="rId25"/>
    <sheet name="2-26" sheetId="28" r:id="rId26"/>
    <sheet name="2-27" sheetId="29" r:id="rId27"/>
    <sheet name="2-28" sheetId="30" r:id="rId28"/>
    <sheet name="2-29" sheetId="31" r:id="rId29"/>
    <sheet name="2-30" sheetId="32" r:id="rId30"/>
  </sheets>
  <definedNames>
    <definedName name="_xlnm.Print_Area" localSheetId="0">'2-1'!$A$1:$L$54</definedName>
    <definedName name="_xlnm.Print_Area" localSheetId="9">'2-10'!$A$1:$L$39</definedName>
    <definedName name="_xlnm.Print_Area" localSheetId="10">'2-11'!$A$1:$M$37</definedName>
    <definedName name="_xlnm.Print_Area" localSheetId="11">'2-12'!$A$1:$M$51</definedName>
    <definedName name="_xlnm.Print_Area" localSheetId="12">'2-13'!$A$1:$M$44</definedName>
    <definedName name="_xlnm.Print_Area" localSheetId="13">'2-14'!$A$1:$P$51</definedName>
    <definedName name="_xlnm.Print_Area" localSheetId="14">'2-15'!$A$1:$J$58</definedName>
    <definedName name="_xlnm.Print_Area" localSheetId="15">'2-16'!$A$1:$J$11</definedName>
    <definedName name="_xlnm.Print_Area" localSheetId="16">'2-17'!$A$1:$N$48</definedName>
    <definedName name="_xlnm.Print_Area" localSheetId="17">'2-18'!$A$1:$L$50</definedName>
    <definedName name="_xlnm.Print_Area" localSheetId="18">'2-19'!$A$1:$J$42</definedName>
    <definedName name="_xlnm.Print_Area" localSheetId="1">'2-2'!$A$1:$K$31</definedName>
    <definedName name="_xlnm.Print_Area" localSheetId="19">'2-20'!$A$1:$M$52</definedName>
    <definedName name="_xlnm.Print_Area" localSheetId="20">'2-21'!$A$1:$L$47</definedName>
    <definedName name="_xlnm.Print_Area" localSheetId="21">'2-22'!$A$1:$L$32</definedName>
    <definedName name="_xlnm.Print_Area" localSheetId="22">'2-23'!$A$1:$L$26</definedName>
    <definedName name="_xlnm.Print_Area" localSheetId="23">'2-24'!$A$1:$N$42</definedName>
    <definedName name="_xlnm.Print_Area" localSheetId="24">'2-25'!$A$1:$M$46</definedName>
    <definedName name="_xlnm.Print_Area" localSheetId="25">'2-26'!$A$1:$M$49</definedName>
    <definedName name="_xlnm.Print_Area" localSheetId="26">'2-27'!$A$1:$M$47</definedName>
    <definedName name="_xlnm.Print_Area" localSheetId="27">'2-28'!$A$1:$I$21</definedName>
    <definedName name="_xlnm.Print_Area" localSheetId="28">'2-29'!$A$1:$O$39</definedName>
    <definedName name="_xlnm.Print_Area" localSheetId="2">'2-3'!$A$1:$I$51</definedName>
    <definedName name="_xlnm.Print_Area" localSheetId="29">'2-30'!$A$1:$J$30</definedName>
    <definedName name="_xlnm.Print_Area" localSheetId="3">'2-4'!$A$1:$M$35</definedName>
    <definedName name="_xlnm.Print_Area" localSheetId="4">'2-5'!$A$1:$L$52</definedName>
    <definedName name="_xlnm.Print_Area" localSheetId="5">'2-6'!$A$1:$M$53</definedName>
    <definedName name="_xlnm.Print_Area" localSheetId="6">'2-7'!$A$1:$K$24</definedName>
    <definedName name="_xlnm.Print_Area" localSheetId="7">'2-8'!$A$1:$N$38</definedName>
    <definedName name="_xlnm.Print_Area" localSheetId="8">'2-9'!$A$1:$K$42</definedName>
    <definedName name="Z_1A39856B_B6B6_4262_AD51_8D376486B275_.wvu.PrintArea" localSheetId="0" hidden="1">'2-1'!$A$1:$K$48</definedName>
    <definedName name="Z_1A39856B_B6B6_4262_AD51_8D376486B275_.wvu.PrintArea" localSheetId="1" hidden="1">'2-2'!$A$1:$I$31</definedName>
    <definedName name="Z_1A39856B_B6B6_4262_AD51_8D376486B275_.wvu.PrintArea" localSheetId="21" hidden="1">'2-22'!$B$1:$K$32</definedName>
    <definedName name="Z_1A39856B_B6B6_4262_AD51_8D376486B275_.wvu.PrintArea" localSheetId="22" hidden="1">'2-23'!$B$1:$K$6</definedName>
    <definedName name="Z_1A39856B_B6B6_4262_AD51_8D376486B275_.wvu.PrintArea" localSheetId="23" hidden="1">'2-24'!$B$1:$N$42</definedName>
    <definedName name="Z_1A39856B_B6B6_4262_AD51_8D376486B275_.wvu.PrintArea" localSheetId="24" hidden="1">'2-25'!$B$1:$M$46</definedName>
    <definedName name="Z_1A39856B_B6B6_4262_AD51_8D376486B275_.wvu.PrintArea" localSheetId="27" hidden="1">'2-28'!$B$1:$L$43</definedName>
    <definedName name="Z_1A39856B_B6B6_4262_AD51_8D376486B275_.wvu.PrintArea" localSheetId="28" hidden="1">'2-29'!$B$1:$P$43</definedName>
    <definedName name="Z_1A39856B_B6B6_4262_AD51_8D376486B275_.wvu.PrintArea" localSheetId="2" hidden="1">'2-3'!$A$1:$J$42</definedName>
    <definedName name="Z_1A39856B_B6B6_4262_AD51_8D376486B275_.wvu.PrintArea" localSheetId="29" hidden="1">'2-30'!$B$1:$J$43</definedName>
    <definedName name="Z_3667CFB0_54D1_4F53_9A88_454A6BFF5CC9_.wvu.PrintArea" localSheetId="9" hidden="1">'2-10'!$A$1:$L$29</definedName>
    <definedName name="Z_3667CFB0_54D1_4F53_9A88_454A6BFF5CC9_.wvu.PrintArea" localSheetId="10" hidden="1">'2-11'!$B$1:$M$37</definedName>
    <definedName name="Z_3667CFB0_54D1_4F53_9A88_454A6BFF5CC9_.wvu.PrintArea" localSheetId="11" hidden="1">'2-12'!$B$1:$Q$51</definedName>
    <definedName name="Z_3667CFB0_54D1_4F53_9A88_454A6BFF5CC9_.wvu.PrintArea" localSheetId="12" hidden="1">'2-13'!$C$1:$P$65</definedName>
    <definedName name="Z_3667CFB0_54D1_4F53_9A88_454A6BFF5CC9_.wvu.PrintArea" localSheetId="13" hidden="1">'2-14'!$B$2:$P$24</definedName>
    <definedName name="Z_3667CFB0_54D1_4F53_9A88_454A6BFF5CC9_.wvu.PrintArea" localSheetId="14" hidden="1">'2-15'!$B$2:$M$34</definedName>
    <definedName name="Z_3667CFB0_54D1_4F53_9A88_454A6BFF5CC9_.wvu.PrintArea" localSheetId="15" hidden="1">'2-16'!$B$2:$M$2</definedName>
    <definedName name="Z_3667CFB0_54D1_4F53_9A88_454A6BFF5CC9_.wvu.PrintArea" localSheetId="16" hidden="1">'2-17'!$B$1:$N$48</definedName>
    <definedName name="Z_3667CFB0_54D1_4F53_9A88_454A6BFF5CC9_.wvu.PrintArea" localSheetId="17" hidden="1">'2-18'!$B$1:$L$50</definedName>
    <definedName name="Z_3667CFB0_54D1_4F53_9A88_454A6BFF5CC9_.wvu.PrintArea" localSheetId="18" hidden="1">'2-19'!$B$1:$L$42</definedName>
    <definedName name="Z_3667CFB0_54D1_4F53_9A88_454A6BFF5CC9_.wvu.PrintArea" localSheetId="19" hidden="1">'2-20'!$B$1:$M$55</definedName>
    <definedName name="Z_3667CFB0_54D1_4F53_9A88_454A6BFF5CC9_.wvu.PrintArea" localSheetId="20" hidden="1">'2-21'!$B$1:$L$18</definedName>
    <definedName name="Z_3667CFB0_54D1_4F53_9A88_454A6BFF5CC9_.wvu.PrintArea" localSheetId="25" hidden="1">'2-26'!$B$1:$M$49</definedName>
    <definedName name="Z_3667CFB0_54D1_4F53_9A88_454A6BFF5CC9_.wvu.PrintArea" localSheetId="26" hidden="1">'2-27'!$B$1:$N$47</definedName>
    <definedName name="Z_3667CFB0_54D1_4F53_9A88_454A6BFF5CC9_.wvu.PrintArea" localSheetId="3" hidden="1">'2-4'!$B$1:$O$35</definedName>
    <definedName name="Z_3667CFB0_54D1_4F53_9A88_454A6BFF5CC9_.wvu.PrintArea" localSheetId="4" hidden="1">'2-5'!$B$1:$L$61</definedName>
    <definedName name="Z_3667CFB0_54D1_4F53_9A88_454A6BFF5CC9_.wvu.PrintArea" localSheetId="5" hidden="1">'2-6'!$B$1:$M$53</definedName>
    <definedName name="Z_3667CFB0_54D1_4F53_9A88_454A6BFF5CC9_.wvu.PrintArea" localSheetId="6" hidden="1">'2-7'!$A$1:$K$23</definedName>
    <definedName name="Z_3667CFB0_54D1_4F53_9A88_454A6BFF5CC9_.wvu.PrintArea" localSheetId="7" hidden="1">'2-8'!$B$1:$O$77</definedName>
    <definedName name="Z_3667CFB0_54D1_4F53_9A88_454A6BFF5CC9_.wvu.PrintArea" localSheetId="8" hidden="1">'2-9'!$B$1:$L$42</definedName>
    <definedName name="Z_611968CD_0356_428A_9AC1_46A54631856A_.wvu.PrintArea" localSheetId="0" hidden="1">'2-1'!$A$1:$L$58</definedName>
    <definedName name="Z_611968CD_0356_428A_9AC1_46A54631856A_.wvu.PrintArea" localSheetId="9" hidden="1">'2-10'!$A$1:$L$39</definedName>
    <definedName name="Z_611968CD_0356_428A_9AC1_46A54631856A_.wvu.PrintArea" localSheetId="10" hidden="1">'2-11'!$B$1:$N$38</definedName>
    <definedName name="Z_611968CD_0356_428A_9AC1_46A54631856A_.wvu.PrintArea" localSheetId="11" hidden="1">'2-12'!$B$1:$O$31</definedName>
    <definedName name="Z_611968CD_0356_428A_9AC1_46A54631856A_.wvu.PrintArea" localSheetId="12" hidden="1">'2-13'!$B$1:$N$44</definedName>
    <definedName name="Z_611968CD_0356_428A_9AC1_46A54631856A_.wvu.PrintArea" localSheetId="13" hidden="1">'2-14'!$B$1:$P$51</definedName>
    <definedName name="Z_611968CD_0356_428A_9AC1_46A54631856A_.wvu.PrintArea" localSheetId="14" hidden="1">'2-15'!$B$2:$L$58</definedName>
    <definedName name="Z_611968CD_0356_428A_9AC1_46A54631856A_.wvu.PrintArea" localSheetId="15" hidden="1">'2-16'!$B$2:$L$11</definedName>
    <definedName name="Z_611968CD_0356_428A_9AC1_46A54631856A_.wvu.PrintArea" localSheetId="16" hidden="1">'2-17'!$B$1:$N$48</definedName>
    <definedName name="Z_611968CD_0356_428A_9AC1_46A54631856A_.wvu.PrintArea" localSheetId="17" hidden="1">'2-18'!$B$1:$L$50</definedName>
    <definedName name="Z_611968CD_0356_428A_9AC1_46A54631856A_.wvu.PrintArea" localSheetId="18" hidden="1">'2-19'!$B$1:$K$42</definedName>
    <definedName name="Z_611968CD_0356_428A_9AC1_46A54631856A_.wvu.PrintArea" localSheetId="1" hidden="1">'2-2'!$A$1:$K$31</definedName>
    <definedName name="Z_611968CD_0356_428A_9AC1_46A54631856A_.wvu.PrintArea" localSheetId="19" hidden="1">'2-20'!$B$1:$M$40</definedName>
    <definedName name="Z_611968CD_0356_428A_9AC1_46A54631856A_.wvu.PrintArea" localSheetId="20" hidden="1">'2-21'!$B$1:$L$47</definedName>
    <definedName name="Z_611968CD_0356_428A_9AC1_46A54631856A_.wvu.PrintArea" localSheetId="21" hidden="1">'2-22'!$B$1:$L$32</definedName>
    <definedName name="Z_611968CD_0356_428A_9AC1_46A54631856A_.wvu.PrintArea" localSheetId="22" hidden="1">'2-23'!$B$1:$L$26</definedName>
    <definedName name="Z_611968CD_0356_428A_9AC1_46A54631856A_.wvu.PrintArea" localSheetId="23" hidden="1">'2-24'!$B$1:$N$42</definedName>
    <definedName name="Z_611968CD_0356_428A_9AC1_46A54631856A_.wvu.PrintArea" localSheetId="24" hidden="1">'2-25'!$B$1:$M$46</definedName>
    <definedName name="Z_611968CD_0356_428A_9AC1_46A54631856A_.wvu.PrintArea" localSheetId="25" hidden="1">'2-26'!$B$1:$M$49</definedName>
    <definedName name="Z_611968CD_0356_428A_9AC1_46A54631856A_.wvu.PrintArea" localSheetId="26" hidden="1">'2-27'!$B$1:$N$47</definedName>
    <definedName name="Z_611968CD_0356_428A_9AC1_46A54631856A_.wvu.PrintArea" localSheetId="27" hidden="1">'2-28'!$B$1:$K$21</definedName>
    <definedName name="Z_611968CD_0356_428A_9AC1_46A54631856A_.wvu.PrintArea" localSheetId="28" hidden="1">'2-29'!$B$1:$O$39</definedName>
    <definedName name="Z_611968CD_0356_428A_9AC1_46A54631856A_.wvu.PrintArea" localSheetId="2" hidden="1">'2-3'!$A$1:$K$42</definedName>
    <definedName name="Z_611968CD_0356_428A_9AC1_46A54631856A_.wvu.PrintArea" localSheetId="29" hidden="1">'2-30'!$B$1:$L$30</definedName>
    <definedName name="Z_611968CD_0356_428A_9AC1_46A54631856A_.wvu.PrintArea" localSheetId="3" hidden="1">'2-4'!$B$1:$M$35</definedName>
    <definedName name="Z_611968CD_0356_428A_9AC1_46A54631856A_.wvu.PrintArea" localSheetId="4" hidden="1">'2-5'!$B$1:$L$35</definedName>
    <definedName name="Z_611968CD_0356_428A_9AC1_46A54631856A_.wvu.PrintArea" localSheetId="5" hidden="1">'2-6'!$B$1:$M$54</definedName>
    <definedName name="Z_611968CD_0356_428A_9AC1_46A54631856A_.wvu.PrintArea" localSheetId="6" hidden="1">'2-7'!$A$1:$K$24</definedName>
    <definedName name="Z_611968CD_0356_428A_9AC1_46A54631856A_.wvu.PrintArea" localSheetId="7" hidden="1">'2-8'!$B$1:$N$36</definedName>
    <definedName name="Z_611968CD_0356_428A_9AC1_46A54631856A_.wvu.PrintArea" localSheetId="8" hidden="1">'2-9'!$B$1:$M$42</definedName>
    <definedName name="Z_7064C493_C271_4BA0_A501_7E337A31598B_.wvu.PrintArea" localSheetId="0" hidden="1">'2-1'!$A$1:$L$48</definedName>
    <definedName name="Z_7064C493_C271_4BA0_A501_7E337A31598B_.wvu.PrintArea" localSheetId="1" hidden="1">'2-2'!$A$1:$I$31</definedName>
    <definedName name="Z_7064C493_C271_4BA0_A501_7E337A31598B_.wvu.PrintArea" localSheetId="21" hidden="1">'2-22'!$B$1:$K$32</definedName>
    <definedName name="Z_7064C493_C271_4BA0_A501_7E337A31598B_.wvu.PrintArea" localSheetId="22" hidden="1">'2-23'!$B$1:$K$6</definedName>
    <definedName name="Z_7064C493_C271_4BA0_A501_7E337A31598B_.wvu.PrintArea" localSheetId="23" hidden="1">'2-24'!$B$1:$N$42</definedName>
    <definedName name="Z_7064C493_C271_4BA0_A501_7E337A31598B_.wvu.PrintArea" localSheetId="24" hidden="1">'2-25'!$B$1:$M$46</definedName>
    <definedName name="Z_7064C493_C271_4BA0_A501_7E337A31598B_.wvu.PrintArea" localSheetId="27" hidden="1">'2-28'!$B$1:$L$43</definedName>
    <definedName name="Z_7064C493_C271_4BA0_A501_7E337A31598B_.wvu.PrintArea" localSheetId="28" hidden="1">'2-29'!$B$1:$P$43</definedName>
    <definedName name="Z_7064C493_C271_4BA0_A501_7E337A31598B_.wvu.PrintArea" localSheetId="2" hidden="1">'2-3'!$A$1:$J$42</definedName>
    <definedName name="Z_7064C493_C271_4BA0_A501_7E337A31598B_.wvu.PrintArea" localSheetId="29" hidden="1">'2-30'!$B$1:$J$43</definedName>
    <definedName name="Z_7517F88B_BACA_41A4_A0F5_ECF8E80B343F_.wvu.PrintArea" localSheetId="0" hidden="1">'2-1'!$A$1:$L$58</definedName>
    <definedName name="Z_7517F88B_BACA_41A4_A0F5_ECF8E80B343F_.wvu.PrintArea" localSheetId="9" hidden="1">'2-10'!$A$1:$L$29</definedName>
    <definedName name="Z_7517F88B_BACA_41A4_A0F5_ECF8E80B343F_.wvu.PrintArea" localSheetId="10" hidden="1">'2-11'!$B$1:$M$37</definedName>
    <definedName name="Z_7517F88B_BACA_41A4_A0F5_ECF8E80B343F_.wvu.PrintArea" localSheetId="11" hidden="1">'2-12'!$B$1:$Q$51</definedName>
    <definedName name="Z_7517F88B_BACA_41A4_A0F5_ECF8E80B343F_.wvu.PrintArea" localSheetId="12" hidden="1">'2-13'!$B$1:$N$44</definedName>
    <definedName name="Z_7517F88B_BACA_41A4_A0F5_ECF8E80B343F_.wvu.PrintArea" localSheetId="13" hidden="1">'2-14'!$B$2:$P$24</definedName>
    <definedName name="Z_7517F88B_BACA_41A4_A0F5_ECF8E80B343F_.wvu.PrintArea" localSheetId="14" hidden="1">'2-15'!$B$2:$M$34</definedName>
    <definedName name="Z_7517F88B_BACA_41A4_A0F5_ECF8E80B343F_.wvu.PrintArea" localSheetId="15" hidden="1">'2-16'!$B$2:$M$2</definedName>
    <definedName name="Z_7517F88B_BACA_41A4_A0F5_ECF8E80B343F_.wvu.PrintArea" localSheetId="16" hidden="1">'2-17'!$B$1:$N$48</definedName>
    <definedName name="Z_7517F88B_BACA_41A4_A0F5_ECF8E80B343F_.wvu.PrintArea" localSheetId="17" hidden="1">'2-18'!$B$1:$L$50</definedName>
    <definedName name="Z_7517F88B_BACA_41A4_A0F5_ECF8E80B343F_.wvu.PrintArea" localSheetId="18" hidden="1">'2-19'!$B$1:$L$42</definedName>
    <definedName name="Z_7517F88B_BACA_41A4_A0F5_ECF8E80B343F_.wvu.PrintArea" localSheetId="1" hidden="1">'2-2'!$A$1:$K$31</definedName>
    <definedName name="Z_7517F88B_BACA_41A4_A0F5_ECF8E80B343F_.wvu.PrintArea" localSheetId="19" hidden="1">'2-20'!$B$1:$M$55</definedName>
    <definedName name="Z_7517F88B_BACA_41A4_A0F5_ECF8E80B343F_.wvu.PrintArea" localSheetId="20" hidden="1">'2-21'!$B$1:$L$47</definedName>
    <definedName name="Z_7517F88B_BACA_41A4_A0F5_ECF8E80B343F_.wvu.PrintArea" localSheetId="21" hidden="1">'2-22'!$B$1:$L$32</definedName>
    <definedName name="Z_7517F88B_BACA_41A4_A0F5_ECF8E80B343F_.wvu.PrintArea" localSheetId="22" hidden="1">'2-23'!$B$1:$L$26</definedName>
    <definedName name="Z_7517F88B_BACA_41A4_A0F5_ECF8E80B343F_.wvu.PrintArea" localSheetId="23" hidden="1">'2-24'!$B$1:$N$42</definedName>
    <definedName name="Z_7517F88B_BACA_41A4_A0F5_ECF8E80B343F_.wvu.PrintArea" localSheetId="24" hidden="1">'2-25'!$B$1:$M$46</definedName>
    <definedName name="Z_7517F88B_BACA_41A4_A0F5_ECF8E80B343F_.wvu.PrintArea" localSheetId="25" hidden="1">'2-26'!$B$1:$M$49</definedName>
    <definedName name="Z_7517F88B_BACA_41A4_A0F5_ECF8E80B343F_.wvu.PrintArea" localSheetId="26" hidden="1">'2-27'!$B$1:$N$47</definedName>
    <definedName name="Z_7517F88B_BACA_41A4_A0F5_ECF8E80B343F_.wvu.PrintArea" localSheetId="27" hidden="1">'2-28'!$B$1:$K$21</definedName>
    <definedName name="Z_7517F88B_BACA_41A4_A0F5_ECF8E80B343F_.wvu.PrintArea" localSheetId="28" hidden="1">'2-29'!$B$1:$O$39</definedName>
    <definedName name="Z_7517F88B_BACA_41A4_A0F5_ECF8E80B343F_.wvu.PrintArea" localSheetId="2" hidden="1">'2-3'!$A$1:$K$42</definedName>
    <definedName name="Z_7517F88B_BACA_41A4_A0F5_ECF8E80B343F_.wvu.PrintArea" localSheetId="29" hidden="1">'2-30'!$B$1:$L$30</definedName>
    <definedName name="Z_7517F88B_BACA_41A4_A0F5_ECF8E80B343F_.wvu.PrintArea" localSheetId="3" hidden="1">'2-4'!$B$1:$O$35</definedName>
    <definedName name="Z_7517F88B_BACA_41A4_A0F5_ECF8E80B343F_.wvu.PrintArea" localSheetId="4" hidden="1">'2-5'!$B$1:$L$61</definedName>
    <definedName name="Z_7517F88B_BACA_41A4_A0F5_ECF8E80B343F_.wvu.PrintArea" localSheetId="5" hidden="1">'2-6'!$B$1:$M$53</definedName>
    <definedName name="Z_7517F88B_BACA_41A4_A0F5_ECF8E80B343F_.wvu.PrintArea" localSheetId="6" hidden="1">'2-7'!$A$1:$K$24</definedName>
    <definedName name="Z_7517F88B_BACA_41A4_A0F5_ECF8E80B343F_.wvu.PrintArea" localSheetId="7" hidden="1">'2-8'!$B$1:$O$77</definedName>
    <definedName name="Z_7517F88B_BACA_41A4_A0F5_ECF8E80B343F_.wvu.PrintArea" localSheetId="8" hidden="1">'2-9'!$B$1:$M$42</definedName>
    <definedName name="Z_7B96C0B5_BA20_46F8_BA82_AC66CD8F146A_.wvu.PrintArea" localSheetId="9" hidden="1">'2-10'!$A$1:$L$29</definedName>
    <definedName name="Z_7B96C0B5_BA20_46F8_BA82_AC66CD8F146A_.wvu.PrintArea" localSheetId="10" hidden="1">'2-11'!$B$1:$M$37</definedName>
    <definedName name="Z_7B96C0B5_BA20_46F8_BA82_AC66CD8F146A_.wvu.PrintArea" localSheetId="11" hidden="1">'2-12'!$B$1:$Q$51</definedName>
    <definedName name="Z_7B96C0B5_BA20_46F8_BA82_AC66CD8F146A_.wvu.PrintArea" localSheetId="12" hidden="1">'2-13'!$C$1:$P$65</definedName>
    <definedName name="Z_7B96C0B5_BA20_46F8_BA82_AC66CD8F146A_.wvu.PrintArea" localSheetId="13" hidden="1">'2-14'!$B$2:$P$24</definedName>
    <definedName name="Z_7B96C0B5_BA20_46F8_BA82_AC66CD8F146A_.wvu.PrintArea" localSheetId="14" hidden="1">'2-15'!$B$2:$M$34</definedName>
    <definedName name="Z_7B96C0B5_BA20_46F8_BA82_AC66CD8F146A_.wvu.PrintArea" localSheetId="15" hidden="1">'2-16'!$B$2:$M$2</definedName>
    <definedName name="Z_7B96C0B5_BA20_46F8_BA82_AC66CD8F146A_.wvu.PrintArea" localSheetId="16" hidden="1">'2-17'!$B$1:$N$48</definedName>
    <definedName name="Z_7B96C0B5_BA20_46F8_BA82_AC66CD8F146A_.wvu.PrintArea" localSheetId="17" hidden="1">'2-18'!$B$1:$L$50</definedName>
    <definedName name="Z_7B96C0B5_BA20_46F8_BA82_AC66CD8F146A_.wvu.PrintArea" localSheetId="18" hidden="1">'2-19'!$B$1:$L$42</definedName>
    <definedName name="Z_7B96C0B5_BA20_46F8_BA82_AC66CD8F146A_.wvu.PrintArea" localSheetId="19" hidden="1">'2-20'!$B$1:$M$55</definedName>
    <definedName name="Z_7B96C0B5_BA20_46F8_BA82_AC66CD8F146A_.wvu.PrintArea" localSheetId="20" hidden="1">'2-21'!$B$1:$L$18</definedName>
    <definedName name="Z_7B96C0B5_BA20_46F8_BA82_AC66CD8F146A_.wvu.PrintArea" localSheetId="25" hidden="1">'2-26'!$B$1:$M$49</definedName>
    <definedName name="Z_7B96C0B5_BA20_46F8_BA82_AC66CD8F146A_.wvu.PrintArea" localSheetId="26" hidden="1">'2-27'!$B$1:$N$47</definedName>
    <definedName name="Z_7B96C0B5_BA20_46F8_BA82_AC66CD8F146A_.wvu.PrintArea" localSheetId="3" hidden="1">'2-4'!$B$1:$O$35</definedName>
    <definedName name="Z_7B96C0B5_BA20_46F8_BA82_AC66CD8F146A_.wvu.PrintArea" localSheetId="4" hidden="1">'2-5'!$B$1:$L$61</definedName>
    <definedName name="Z_7B96C0B5_BA20_46F8_BA82_AC66CD8F146A_.wvu.PrintArea" localSheetId="5" hidden="1">'2-6'!$B$1:$M$53</definedName>
    <definedName name="Z_7B96C0B5_BA20_46F8_BA82_AC66CD8F146A_.wvu.PrintArea" localSheetId="6" hidden="1">'2-7'!$A$1:$K$23</definedName>
    <definedName name="Z_7B96C0B5_BA20_46F8_BA82_AC66CD8F146A_.wvu.PrintArea" localSheetId="7" hidden="1">'2-8'!$B$1:$O$77</definedName>
    <definedName name="Z_7B96C0B5_BA20_46F8_BA82_AC66CD8F146A_.wvu.PrintArea" localSheetId="8" hidden="1">'2-9'!$B$1:$L$42</definedName>
    <definedName name="Z_A2F04958_F301_4CCE_B304_6A5468D58EEA_.wvu.PrintArea" localSheetId="9" hidden="1">'2-10'!$A$1:$L$29</definedName>
    <definedName name="Z_A2F04958_F301_4CCE_B304_6A5468D58EEA_.wvu.PrintArea" localSheetId="10" hidden="1">'2-11'!$B$1:$M$37</definedName>
    <definedName name="Z_A2F04958_F301_4CCE_B304_6A5468D58EEA_.wvu.PrintArea" localSheetId="11" hidden="1">'2-12'!$B$1:$Q$51</definedName>
    <definedName name="Z_A2F04958_F301_4CCE_B304_6A5468D58EEA_.wvu.PrintArea" localSheetId="12" hidden="1">'2-13'!$C$1:$P$65</definedName>
    <definedName name="Z_A2F04958_F301_4CCE_B304_6A5468D58EEA_.wvu.PrintArea" localSheetId="13" hidden="1">'2-14'!$B$2:$P$24</definedName>
    <definedName name="Z_A2F04958_F301_4CCE_B304_6A5468D58EEA_.wvu.PrintArea" localSheetId="14" hidden="1">'2-15'!$B$2:$M$34</definedName>
    <definedName name="Z_A2F04958_F301_4CCE_B304_6A5468D58EEA_.wvu.PrintArea" localSheetId="15" hidden="1">'2-16'!$B$2:$M$2</definedName>
    <definedName name="Z_A2F04958_F301_4CCE_B304_6A5468D58EEA_.wvu.PrintArea" localSheetId="16" hidden="1">'2-17'!$B$1:$N$48</definedName>
    <definedName name="Z_A2F04958_F301_4CCE_B304_6A5468D58EEA_.wvu.PrintArea" localSheetId="17" hidden="1">'2-18'!$B$1:$L$50</definedName>
    <definedName name="Z_A2F04958_F301_4CCE_B304_6A5468D58EEA_.wvu.PrintArea" localSheetId="18" hidden="1">'2-19'!$B$1:$L$42</definedName>
    <definedName name="Z_A2F04958_F301_4CCE_B304_6A5468D58EEA_.wvu.PrintArea" localSheetId="19" hidden="1">'2-20'!$B$1:$M$55</definedName>
    <definedName name="Z_A2F04958_F301_4CCE_B304_6A5468D58EEA_.wvu.PrintArea" localSheetId="20" hidden="1">'2-21'!$B$1:$L$18</definedName>
    <definedName name="Z_A2F04958_F301_4CCE_B304_6A5468D58EEA_.wvu.PrintArea" localSheetId="25" hidden="1">'2-26'!$B$1:$M$49</definedName>
    <definedName name="Z_A2F04958_F301_4CCE_B304_6A5468D58EEA_.wvu.PrintArea" localSheetId="26" hidden="1">'2-27'!$B$1:$N$47</definedName>
    <definedName name="Z_A2F04958_F301_4CCE_B304_6A5468D58EEA_.wvu.PrintArea" localSheetId="3" hidden="1">'2-4'!$B$1:$O$35</definedName>
    <definedName name="Z_A2F04958_F301_4CCE_B304_6A5468D58EEA_.wvu.PrintArea" localSheetId="4" hidden="1">'2-5'!$B$1:$L$61</definedName>
    <definedName name="Z_A2F04958_F301_4CCE_B304_6A5468D58EEA_.wvu.PrintArea" localSheetId="5" hidden="1">'2-6'!$B$1:$M$53</definedName>
    <definedName name="Z_A2F04958_F301_4CCE_B304_6A5468D58EEA_.wvu.PrintArea" localSheetId="6" hidden="1">'2-7'!$A$1:$K$23</definedName>
    <definedName name="Z_A2F04958_F301_4CCE_B304_6A5468D58EEA_.wvu.PrintArea" localSheetId="7" hidden="1">'2-8'!$B$1:$O$77</definedName>
    <definedName name="Z_A2F04958_F301_4CCE_B304_6A5468D58EEA_.wvu.PrintArea" localSheetId="8" hidden="1">'2-9'!$B$1:$L$42</definedName>
    <definedName name="Z_C95BCE97_951E_4C98_84AE_A423A99BB34B_.wvu.PrintArea" localSheetId="0" hidden="1">'2-1'!$A$1:$L$58</definedName>
    <definedName name="Z_C95BCE97_951E_4C98_84AE_A423A99BB34B_.wvu.PrintArea" localSheetId="9" hidden="1">'2-10'!$A$1:$L$39</definedName>
    <definedName name="Z_C95BCE97_951E_4C98_84AE_A423A99BB34B_.wvu.PrintArea" localSheetId="10" hidden="1">'2-11'!$B$1:$N$38</definedName>
    <definedName name="Z_C95BCE97_951E_4C98_84AE_A423A99BB34B_.wvu.PrintArea" localSheetId="11" hidden="1">'2-12'!$B$1:$O$31</definedName>
    <definedName name="Z_C95BCE97_951E_4C98_84AE_A423A99BB34B_.wvu.PrintArea" localSheetId="12" hidden="1">'2-13'!$B$1:$N$44</definedName>
    <definedName name="Z_C95BCE97_951E_4C98_84AE_A423A99BB34B_.wvu.PrintArea" localSheetId="13" hidden="1">'2-14'!$B$1:$P$51</definedName>
    <definedName name="Z_C95BCE97_951E_4C98_84AE_A423A99BB34B_.wvu.PrintArea" localSheetId="14" hidden="1">'2-15'!$B$2:$L$58</definedName>
    <definedName name="Z_C95BCE97_951E_4C98_84AE_A423A99BB34B_.wvu.PrintArea" localSheetId="15" hidden="1">'2-16'!$B$2:$L$11</definedName>
    <definedName name="Z_C95BCE97_951E_4C98_84AE_A423A99BB34B_.wvu.PrintArea" localSheetId="16" hidden="1">'2-17'!$B$1:$N$48</definedName>
    <definedName name="Z_C95BCE97_951E_4C98_84AE_A423A99BB34B_.wvu.PrintArea" localSheetId="17" hidden="1">'2-18'!$B$1:$L$50</definedName>
    <definedName name="Z_C95BCE97_951E_4C98_84AE_A423A99BB34B_.wvu.PrintArea" localSheetId="18" hidden="1">'2-19'!$B$1:$K$42</definedName>
    <definedName name="Z_C95BCE97_951E_4C98_84AE_A423A99BB34B_.wvu.PrintArea" localSheetId="1" hidden="1">'2-2'!$A$1:$K$31</definedName>
    <definedName name="Z_C95BCE97_951E_4C98_84AE_A423A99BB34B_.wvu.PrintArea" localSheetId="19" hidden="1">'2-20'!$B$1:$M$40</definedName>
    <definedName name="Z_C95BCE97_951E_4C98_84AE_A423A99BB34B_.wvu.PrintArea" localSheetId="20" hidden="1">'2-21'!$B$1:$L$47</definedName>
    <definedName name="Z_C95BCE97_951E_4C98_84AE_A423A99BB34B_.wvu.PrintArea" localSheetId="21" hidden="1">'2-22'!$B$1:$L$32</definedName>
    <definedName name="Z_C95BCE97_951E_4C98_84AE_A423A99BB34B_.wvu.PrintArea" localSheetId="22" hidden="1">'2-23'!$B$1:$L$26</definedName>
    <definedName name="Z_C95BCE97_951E_4C98_84AE_A423A99BB34B_.wvu.PrintArea" localSheetId="23" hidden="1">'2-24'!$B$1:$N$42</definedName>
    <definedName name="Z_C95BCE97_951E_4C98_84AE_A423A99BB34B_.wvu.PrintArea" localSheetId="24" hidden="1">'2-25'!$B$1:$M$46</definedName>
    <definedName name="Z_C95BCE97_951E_4C98_84AE_A423A99BB34B_.wvu.PrintArea" localSheetId="25" hidden="1">'2-26'!$B$1:$M$49</definedName>
    <definedName name="Z_C95BCE97_951E_4C98_84AE_A423A99BB34B_.wvu.PrintArea" localSheetId="26" hidden="1">'2-27'!$B$1:$N$47</definedName>
    <definedName name="Z_C95BCE97_951E_4C98_84AE_A423A99BB34B_.wvu.PrintArea" localSheetId="27" hidden="1">'2-28'!$B$1:$K$21</definedName>
    <definedName name="Z_C95BCE97_951E_4C98_84AE_A423A99BB34B_.wvu.PrintArea" localSheetId="28" hidden="1">'2-29'!$B$1:$O$39</definedName>
    <definedName name="Z_C95BCE97_951E_4C98_84AE_A423A99BB34B_.wvu.PrintArea" localSheetId="2" hidden="1">'2-3'!$A$1:$K$42</definedName>
    <definedName name="Z_C95BCE97_951E_4C98_84AE_A423A99BB34B_.wvu.PrintArea" localSheetId="29" hidden="1">'2-30'!$B$1:$L$30</definedName>
    <definedName name="Z_C95BCE97_951E_4C98_84AE_A423A99BB34B_.wvu.PrintArea" localSheetId="3" hidden="1">'2-4'!$B$1:$M$35</definedName>
    <definedName name="Z_C95BCE97_951E_4C98_84AE_A423A99BB34B_.wvu.PrintArea" localSheetId="4" hidden="1">'2-5'!$B$1:$L$35</definedName>
    <definedName name="Z_C95BCE97_951E_4C98_84AE_A423A99BB34B_.wvu.PrintArea" localSheetId="5" hidden="1">'2-6'!$B$1:$M$54</definedName>
    <definedName name="Z_C95BCE97_951E_4C98_84AE_A423A99BB34B_.wvu.PrintArea" localSheetId="6" hidden="1">'2-7'!$A$1:$K$24</definedName>
    <definedName name="Z_C95BCE97_951E_4C98_84AE_A423A99BB34B_.wvu.PrintArea" localSheetId="7" hidden="1">'2-8'!$B$1:$N$36</definedName>
    <definedName name="Z_C95BCE97_951E_4C98_84AE_A423A99BB34B_.wvu.PrintArea" localSheetId="8" hidden="1">'2-9'!$B$1:$M$42</definedName>
    <definedName name="Z_E089DE39_A8EC_4E76_B316_9664317B8954_.wvu.PrintArea" localSheetId="0" hidden="1">'2-1'!$A$1:$K$48</definedName>
    <definedName name="Z_E089DE39_A8EC_4E76_B316_9664317B8954_.wvu.PrintArea" localSheetId="1" hidden="1">'2-2'!$A$1:$I$31</definedName>
    <definedName name="Z_E089DE39_A8EC_4E76_B316_9664317B8954_.wvu.PrintArea" localSheetId="21" hidden="1">'2-22'!$B$1:$K$32</definedName>
    <definedName name="Z_E089DE39_A8EC_4E76_B316_9664317B8954_.wvu.PrintArea" localSheetId="22" hidden="1">'2-23'!$B$1:$K$6</definedName>
    <definedName name="Z_E089DE39_A8EC_4E76_B316_9664317B8954_.wvu.PrintArea" localSheetId="23" hidden="1">'2-24'!$B$1:$N$42</definedName>
    <definedName name="Z_E089DE39_A8EC_4E76_B316_9664317B8954_.wvu.PrintArea" localSheetId="24" hidden="1">'2-25'!$B$1:$M$46</definedName>
    <definedName name="Z_E089DE39_A8EC_4E76_B316_9664317B8954_.wvu.PrintArea" localSheetId="27" hidden="1">'2-28'!$B$1:$L$43</definedName>
    <definedName name="Z_E089DE39_A8EC_4E76_B316_9664317B8954_.wvu.PrintArea" localSheetId="28" hidden="1">'2-29'!$B$1:$P$43</definedName>
    <definedName name="Z_E089DE39_A8EC_4E76_B316_9664317B8954_.wvu.PrintArea" localSheetId="2" hidden="1">'2-3'!$A$1:$J$42</definedName>
    <definedName name="Z_E089DE39_A8EC_4E76_B316_9664317B8954_.wvu.PrintArea" localSheetId="29" hidden="1">'2-30'!$B$1:$J$43</definedName>
  </definedNames>
  <calcPr calcId="145621"/>
  <customWorkbookViews>
    <customWorkbookView name="CRodriguez - Personal View" guid="{C95BCE97-951E-4C98-84AE-A423A99BB34B}" mergeInterval="0" personalView="1" maximized="1" windowWidth="1231" windowHeight="510" tabRatio="759" activeSheetId="28" showComments="commIndAndComment"/>
    <customWorkbookView name="CL User - Personal View" guid="{A2F04958-F301-4CCE-B304-6A5468D58EEA}" mergeInterval="0" personalView="1" maximized="1" xWindow="1" yWindow="1" windowWidth="1276" windowHeight="582" tabRatio="758" activeSheetId="1"/>
    <customWorkbookView name="Crystal - Personal View" guid="{3667CFB0-54D1-4F53-9A88-454A6BFF5CC9}" mergeInterval="0" personalView="1" maximized="1" xWindow="1" yWindow="1" windowWidth="1436" windowHeight="680" tabRatio="758" activeSheetId="24"/>
    <customWorkbookView name="Krista Kellman - Personal View" guid="{7B96C0B5-BA20-46F8-BA82-AC66CD8F146A}" mergeInterval="0" personalView="1" maximized="1" windowWidth="1676" windowHeight="861" tabRatio="758" activeSheetId="4"/>
    <customWorkbookView name="Rachel Morris - Personal View" guid="{611968CD-0356-428A-9AC1-46A54631856A}" mergeInterval="0" personalView="1" maximized="1" windowWidth="1600" windowHeight="635" tabRatio="759" activeSheetId="32"/>
    <customWorkbookView name="Juli Cook - Personal View" guid="{7517F88B-BACA-41A4-A0F5-ECF8E80B343F}" mergeInterval="0" personalView="1" maximized="1" windowWidth="1115" windowHeight="616" tabRatio="758" activeSheetId="1" showComments="commIndAndComment"/>
  </customWorkbookViews>
</workbook>
</file>

<file path=xl/calcChain.xml><?xml version="1.0" encoding="utf-8"?>
<calcChain xmlns="http://schemas.openxmlformats.org/spreadsheetml/2006/main">
  <c r="V20" i="28" l="1"/>
  <c r="Q19" i="23"/>
  <c r="U9" i="29"/>
  <c r="C9" i="29"/>
  <c r="S10" i="29"/>
  <c r="R48" i="28"/>
  <c r="T47" i="28"/>
  <c r="D47" i="28"/>
  <c r="T20" i="28"/>
  <c r="T19" i="28"/>
  <c r="R20" i="28"/>
  <c r="P20" i="28"/>
  <c r="P19" i="28"/>
  <c r="P9" i="28"/>
  <c r="U22" i="29"/>
  <c r="Y22" i="29"/>
  <c r="M22" i="29"/>
  <c r="P8" i="28"/>
  <c r="P37" i="27"/>
  <c r="R14" i="27"/>
  <c r="R12" i="27"/>
  <c r="K16" i="27"/>
  <c r="T23" i="27"/>
  <c r="R23" i="27"/>
  <c r="P22" i="27"/>
  <c r="M38" i="26"/>
  <c r="M37" i="26"/>
  <c r="J35" i="26"/>
  <c r="J34" i="26"/>
  <c r="J33" i="26"/>
  <c r="M35" i="26"/>
  <c r="J32" i="26"/>
  <c r="M29" i="26"/>
  <c r="U42" i="26"/>
  <c r="S42" i="26"/>
  <c r="Q42" i="26"/>
  <c r="Q9" i="26"/>
  <c r="S19" i="23"/>
  <c r="U19" i="23"/>
  <c r="L44" i="23"/>
  <c r="L43" i="23"/>
  <c r="L34" i="23"/>
  <c r="L33" i="23"/>
  <c r="J31" i="23"/>
  <c r="J30" i="23"/>
  <c r="J29" i="23"/>
  <c r="J28" i="23"/>
  <c r="L26" i="23"/>
  <c r="O19" i="23"/>
  <c r="O8" i="23"/>
  <c r="S8" i="23"/>
  <c r="L8" i="23"/>
  <c r="O12" i="23"/>
  <c r="Q12" i="23"/>
  <c r="Q8" i="23"/>
  <c r="R38" i="22"/>
  <c r="R37" i="22"/>
  <c r="R36" i="22"/>
  <c r="C36" i="22"/>
  <c r="R20" i="22"/>
  <c r="C20" i="22"/>
  <c r="R15" i="22"/>
  <c r="J40" i="21"/>
  <c r="J35" i="21"/>
  <c r="J36" i="21"/>
  <c r="J38" i="21"/>
  <c r="T22" i="21"/>
  <c r="V22" i="21"/>
  <c r="R22" i="21"/>
  <c r="T24" i="21"/>
  <c r="P18" i="21"/>
  <c r="M25" i="19"/>
  <c r="M24" i="19"/>
  <c r="K23" i="19"/>
  <c r="K22" i="19"/>
  <c r="M21" i="19"/>
  <c r="K20" i="19"/>
  <c r="K18" i="19"/>
  <c r="K17" i="19"/>
  <c r="M16" i="19"/>
  <c r="I15" i="19"/>
  <c r="G14" i="19"/>
  <c r="G26" i="19"/>
  <c r="J10" i="20"/>
  <c r="G13" i="19"/>
  <c r="G11" i="19"/>
  <c r="G10" i="19"/>
  <c r="G9" i="19"/>
  <c r="R39" i="35"/>
  <c r="V38" i="35"/>
  <c r="T39" i="35"/>
  <c r="D39" i="35"/>
  <c r="T38" i="35"/>
  <c r="R38" i="35"/>
  <c r="P38" i="35"/>
  <c r="U45" i="17"/>
  <c r="U47" i="17"/>
  <c r="S45" i="17"/>
  <c r="L35" i="17"/>
  <c r="L36" i="17"/>
  <c r="N16" i="17"/>
  <c r="N15" i="17"/>
  <c r="J22" i="17"/>
  <c r="J21" i="17"/>
  <c r="J20" i="17"/>
  <c r="J23" i="17"/>
  <c r="N12" i="17"/>
  <c r="N13" i="17"/>
  <c r="M39" i="16"/>
  <c r="M38" i="16"/>
  <c r="M37" i="16"/>
  <c r="M31" i="16"/>
  <c r="M30" i="16"/>
  <c r="M29" i="16"/>
  <c r="M32" i="16"/>
  <c r="M25" i="16"/>
  <c r="M24" i="16"/>
  <c r="M20" i="16"/>
  <c r="M19" i="16"/>
  <c r="M15" i="16"/>
  <c r="M14" i="16"/>
  <c r="M16" i="16"/>
  <c r="M18" i="16"/>
  <c r="M21" i="16"/>
  <c r="M23" i="16"/>
  <c r="M13" i="16"/>
  <c r="U12" i="16"/>
  <c r="T12" i="16"/>
  <c r="M9" i="16"/>
  <c r="M5" i="16"/>
  <c r="M4" i="16"/>
  <c r="M3" i="16"/>
  <c r="M29" i="14"/>
  <c r="M28" i="14"/>
  <c r="M27" i="14"/>
  <c r="M15" i="14"/>
  <c r="M14" i="14"/>
  <c r="M4" i="14"/>
  <c r="M3" i="14"/>
  <c r="M5" i="14"/>
  <c r="Q10" i="14"/>
  <c r="K30" i="13"/>
  <c r="K31" i="13"/>
  <c r="G36" i="13"/>
  <c r="K29" i="13"/>
  <c r="K28" i="13"/>
  <c r="H26" i="12"/>
  <c r="L24" i="12"/>
  <c r="L23" i="12"/>
  <c r="L21" i="12"/>
  <c r="J19" i="12"/>
  <c r="J18" i="12"/>
  <c r="J27" i="12"/>
  <c r="P35" i="12"/>
  <c r="J17" i="12"/>
  <c r="H16" i="12"/>
  <c r="H14" i="12"/>
  <c r="H12" i="12"/>
  <c r="H11" i="12"/>
  <c r="G10" i="12"/>
  <c r="H9" i="12"/>
  <c r="F8" i="12"/>
  <c r="N41" i="11"/>
  <c r="M22" i="10"/>
  <c r="U24" i="10"/>
  <c r="J24" i="10"/>
  <c r="J23" i="10"/>
  <c r="J22" i="10"/>
  <c r="J21" i="10"/>
  <c r="Q22" i="10"/>
  <c r="C24" i="10"/>
  <c r="Q21" i="10"/>
  <c r="Q12" i="10"/>
  <c r="K14" i="8"/>
  <c r="L24" i="7"/>
  <c r="L23" i="7"/>
  <c r="Q27" i="6"/>
  <c r="Q20" i="6"/>
  <c r="K24" i="6"/>
  <c r="K25" i="6"/>
  <c r="K23" i="6"/>
  <c r="K17" i="6"/>
  <c r="K16" i="6"/>
  <c r="K7" i="6"/>
  <c r="K6" i="6"/>
  <c r="K5" i="6"/>
  <c r="S21" i="14"/>
  <c r="K37" i="11"/>
  <c r="K36" i="11"/>
  <c r="K35" i="11"/>
  <c r="B35" i="12"/>
  <c r="C20" i="29"/>
  <c r="C19" i="29"/>
  <c r="Q18" i="29"/>
  <c r="C17" i="29"/>
  <c r="S18" i="29"/>
  <c r="U18" i="29"/>
  <c r="S17" i="29"/>
  <c r="Q17" i="29"/>
  <c r="C15" i="29"/>
  <c r="Q14" i="29"/>
  <c r="C34" i="27"/>
  <c r="C30" i="27"/>
  <c r="C28" i="27"/>
  <c r="C26" i="27"/>
  <c r="Q17" i="26"/>
  <c r="C17" i="26"/>
  <c r="C30" i="22"/>
  <c r="C28" i="21"/>
  <c r="C15" i="21"/>
  <c r="C9" i="21"/>
  <c r="C7" i="21"/>
  <c r="C3" i="21"/>
  <c r="T10" i="34"/>
  <c r="P10" i="34"/>
  <c r="D14" i="35"/>
  <c r="V14" i="35"/>
  <c r="D15" i="35"/>
  <c r="R25" i="35"/>
  <c r="E33" i="35"/>
  <c r="V33" i="35"/>
  <c r="E34" i="35"/>
  <c r="C43" i="35"/>
  <c r="R49" i="35"/>
  <c r="D49" i="35"/>
  <c r="V49" i="35"/>
  <c r="D50" i="35"/>
  <c r="C56" i="35"/>
  <c r="E7" i="34"/>
  <c r="T8" i="34"/>
  <c r="E8" i="34"/>
  <c r="R10" i="34"/>
  <c r="C5" i="16"/>
  <c r="C3" i="16"/>
  <c r="C11" i="10"/>
  <c r="D51" i="4"/>
  <c r="D47" i="4"/>
  <c r="R43" i="4"/>
  <c r="D43" i="4"/>
  <c r="N45" i="4"/>
  <c r="R45" i="4"/>
  <c r="N47" i="4"/>
  <c r="R47" i="4"/>
  <c r="P47" i="4"/>
  <c r="R49" i="4"/>
  <c r="D49" i="4"/>
  <c r="T51" i="4"/>
  <c r="P39" i="4"/>
  <c r="R39" i="4"/>
  <c r="F39" i="4"/>
  <c r="T39" i="4"/>
  <c r="N41" i="4"/>
  <c r="R41" i="4"/>
  <c r="P41" i="4"/>
  <c r="D41" i="4"/>
  <c r="R35" i="4"/>
  <c r="N37" i="4"/>
  <c r="R37" i="4"/>
  <c r="D37" i="4"/>
  <c r="D35" i="4"/>
  <c r="R31" i="4"/>
  <c r="N33" i="4"/>
  <c r="R33" i="4"/>
  <c r="D33" i="4"/>
  <c r="D31" i="4"/>
  <c r="R27" i="4"/>
  <c r="D27" i="4"/>
  <c r="R10" i="4"/>
  <c r="D10" i="4"/>
  <c r="T11" i="4"/>
  <c r="N12" i="4"/>
  <c r="P12" i="4"/>
  <c r="D11" i="4"/>
  <c r="R8" i="4"/>
  <c r="D8" i="4"/>
  <c r="C8" i="26"/>
  <c r="I6" i="22"/>
  <c r="C31" i="22"/>
  <c r="W12" i="10"/>
  <c r="C12" i="10"/>
  <c r="M25" i="10"/>
  <c r="W9" i="10"/>
  <c r="M9" i="10"/>
  <c r="M8" i="10"/>
  <c r="M7" i="10"/>
  <c r="U9" i="10"/>
  <c r="J9" i="10"/>
  <c r="J8" i="10"/>
  <c r="J7" i="10"/>
  <c r="Q15" i="9"/>
  <c r="K15" i="9"/>
  <c r="I14" i="9"/>
  <c r="K14" i="9"/>
  <c r="Q14" i="9"/>
  <c r="I13" i="9"/>
  <c r="I12" i="9"/>
  <c r="I11" i="9"/>
  <c r="I10" i="9"/>
  <c r="K8" i="9"/>
  <c r="L30" i="7"/>
  <c r="L28" i="7"/>
  <c r="P29" i="7"/>
  <c r="L29" i="7"/>
  <c r="L8" i="7"/>
  <c r="L7" i="7"/>
  <c r="L5" i="7"/>
  <c r="L4" i="7"/>
  <c r="M33" i="6"/>
  <c r="M32" i="6"/>
  <c r="M31" i="6"/>
  <c r="Q34" i="6"/>
  <c r="M34" i="6"/>
  <c r="K23" i="31"/>
  <c r="Q35" i="31"/>
  <c r="U35" i="31"/>
  <c r="K38" i="31"/>
  <c r="K35" i="31"/>
  <c r="K36" i="31"/>
  <c r="I9" i="30"/>
  <c r="I10" i="30"/>
  <c r="I11" i="30"/>
  <c r="C7" i="29"/>
  <c r="K7" i="29"/>
  <c r="U7" i="29"/>
  <c r="S8" i="29"/>
  <c r="W9" i="29"/>
  <c r="K9" i="29"/>
  <c r="M10" i="29"/>
  <c r="Q22" i="29"/>
  <c r="K27" i="29"/>
  <c r="K28" i="29"/>
  <c r="C4" i="28"/>
  <c r="K4" i="28"/>
  <c r="K28" i="28"/>
  <c r="V4" i="28"/>
  <c r="C5" i="28"/>
  <c r="K5" i="28"/>
  <c r="M5" i="28"/>
  <c r="K23" i="28"/>
  <c r="V5" i="28"/>
  <c r="C8" i="28"/>
  <c r="V8" i="28"/>
  <c r="K8" i="28"/>
  <c r="K12" i="28"/>
  <c r="C13" i="28"/>
  <c r="K13" i="28"/>
  <c r="M16" i="28"/>
  <c r="K39" i="28"/>
  <c r="V13" i="28"/>
  <c r="K14" i="28"/>
  <c r="K15" i="28"/>
  <c r="S14" i="29"/>
  <c r="K16" i="28"/>
  <c r="P16" i="28"/>
  <c r="C19" i="28"/>
  <c r="X20" i="28"/>
  <c r="K33" i="28"/>
  <c r="D45" i="28"/>
  <c r="K45" i="28"/>
  <c r="T45" i="28"/>
  <c r="D46" i="28"/>
  <c r="K46" i="28"/>
  <c r="R46" i="28"/>
  <c r="T46" i="28"/>
  <c r="V47" i="28"/>
  <c r="K47" i="28"/>
  <c r="W42" i="26"/>
  <c r="C42" i="26"/>
  <c r="H4" i="27"/>
  <c r="K17" i="27"/>
  <c r="M18" i="27"/>
  <c r="V22" i="27"/>
  <c r="R10" i="27"/>
  <c r="T37" i="27"/>
  <c r="C37" i="27"/>
  <c r="U8" i="26"/>
  <c r="M8" i="26"/>
  <c r="M9" i="26"/>
  <c r="M12" i="26"/>
  <c r="M13" i="26"/>
  <c r="C9" i="25"/>
  <c r="T9" i="25"/>
  <c r="R31" i="22"/>
  <c r="P36" i="22"/>
  <c r="T36" i="22"/>
  <c r="M36" i="22"/>
  <c r="P37" i="22"/>
  <c r="T37" i="22"/>
  <c r="M37" i="22"/>
  <c r="L13" i="23"/>
  <c r="L14" i="23"/>
  <c r="L31" i="23"/>
  <c r="P8" i="22"/>
  <c r="T8" i="22"/>
  <c r="M16" i="22"/>
  <c r="C15" i="22"/>
  <c r="M15" i="22"/>
  <c r="T15" i="22"/>
  <c r="M17" i="22"/>
  <c r="M20" i="22"/>
  <c r="M23" i="22"/>
  <c r="C37" i="22"/>
  <c r="F3" i="21"/>
  <c r="G3" i="21"/>
  <c r="R3" i="21"/>
  <c r="N24" i="21"/>
  <c r="F4" i="21"/>
  <c r="N6" i="21"/>
  <c r="N7" i="21"/>
  <c r="R7" i="21"/>
  <c r="F9" i="21"/>
  <c r="R9" i="21"/>
  <c r="G9" i="21"/>
  <c r="F10" i="21"/>
  <c r="N12" i="21"/>
  <c r="P12" i="21"/>
  <c r="N13" i="21"/>
  <c r="F15" i="21"/>
  <c r="G15" i="21"/>
  <c r="R15" i="21"/>
  <c r="F16" i="21"/>
  <c r="N18" i="21"/>
  <c r="R18" i="21"/>
  <c r="P22" i="21"/>
  <c r="N20" i="21"/>
  <c r="N22" i="21"/>
  <c r="R24" i="21"/>
  <c r="T28" i="21"/>
  <c r="J30" i="21"/>
  <c r="J31" i="21"/>
  <c r="J32" i="21"/>
  <c r="J34" i="21"/>
  <c r="J39" i="21"/>
  <c r="C8" i="20"/>
  <c r="R8" i="20"/>
  <c r="L8" i="20"/>
  <c r="I26" i="19"/>
  <c r="J11" i="20"/>
  <c r="M26" i="19"/>
  <c r="L14" i="20"/>
  <c r="H4" i="17"/>
  <c r="W4" i="17"/>
  <c r="H5" i="17"/>
  <c r="N11" i="17"/>
  <c r="L34" i="17"/>
  <c r="W45" i="17"/>
  <c r="N34" i="17"/>
  <c r="U46" i="17"/>
  <c r="W46" i="17"/>
  <c r="L39" i="17"/>
  <c r="S48" i="17"/>
  <c r="L40" i="17"/>
  <c r="S49" i="17"/>
  <c r="Y45" i="17"/>
  <c r="U50" i="17"/>
  <c r="C13" i="16"/>
  <c r="C15" i="16"/>
  <c r="P24" i="16"/>
  <c r="C24" i="16"/>
  <c r="P25" i="16"/>
  <c r="C25" i="16"/>
  <c r="M40" i="16"/>
  <c r="G11" i="14"/>
  <c r="M16" i="14"/>
  <c r="Q21" i="14"/>
  <c r="H22" i="14"/>
  <c r="C27" i="14"/>
  <c r="C28" i="14"/>
  <c r="C29" i="14"/>
  <c r="C30" i="14"/>
  <c r="G37" i="13"/>
  <c r="F27" i="12"/>
  <c r="G27" i="12"/>
  <c r="L31" i="12"/>
  <c r="L27" i="12"/>
  <c r="R35" i="12"/>
  <c r="L30" i="12"/>
  <c r="E38" i="12"/>
  <c r="G41" i="11"/>
  <c r="C7" i="10"/>
  <c r="C8" i="10"/>
  <c r="C21" i="10"/>
  <c r="C23" i="10"/>
  <c r="C6" i="8"/>
  <c r="C8" i="8"/>
  <c r="M8" i="8"/>
  <c r="S8" i="8"/>
  <c r="M9" i="8"/>
  <c r="M10" i="8"/>
  <c r="Q14" i="8"/>
  <c r="K15" i="8"/>
  <c r="M15" i="8"/>
  <c r="M16" i="8"/>
  <c r="C24" i="8"/>
  <c r="C27" i="8"/>
  <c r="K27" i="8"/>
  <c r="S27" i="8"/>
  <c r="K28" i="8"/>
  <c r="O44" i="8"/>
  <c r="Q33" i="8"/>
  <c r="I34" i="8"/>
  <c r="K35" i="8"/>
  <c r="M35" i="8"/>
  <c r="Q41" i="8"/>
  <c r="Q44" i="8"/>
  <c r="Q46" i="8"/>
  <c r="Q48" i="8"/>
  <c r="O50" i="8"/>
  <c r="Q50" i="8"/>
  <c r="S50" i="8"/>
  <c r="U50" i="8"/>
  <c r="Q52" i="8"/>
  <c r="C7" i="7"/>
  <c r="C8" i="7"/>
  <c r="T11" i="7"/>
  <c r="G15" i="7"/>
  <c r="C20" i="7"/>
  <c r="C23" i="7"/>
  <c r="C24" i="7"/>
  <c r="C28" i="7"/>
  <c r="C29" i="7"/>
  <c r="C30" i="7"/>
  <c r="C31" i="7"/>
  <c r="K8" i="6"/>
  <c r="O10" i="6"/>
  <c r="F11" i="6"/>
  <c r="F21" i="6"/>
  <c r="F28" i="6"/>
  <c r="B31" i="6"/>
  <c r="B33" i="6"/>
  <c r="N18" i="25"/>
  <c r="C10" i="25"/>
  <c r="C22" i="10"/>
  <c r="C25" i="35"/>
  <c r="F10" i="34"/>
  <c r="V10" i="34"/>
  <c r="F11" i="34"/>
  <c r="D44" i="8"/>
  <c r="P3" i="7"/>
  <c r="P6" i="7"/>
  <c r="L3" i="7"/>
  <c r="C11" i="7"/>
  <c r="C33" i="8"/>
  <c r="S33" i="8"/>
  <c r="I33" i="8"/>
  <c r="K34" i="8"/>
  <c r="D50" i="8"/>
  <c r="S44" i="8"/>
  <c r="U44" i="8"/>
  <c r="M27" i="8"/>
  <c r="K29" i="8"/>
  <c r="O41" i="8"/>
  <c r="M17" i="8"/>
  <c r="J33" i="21"/>
  <c r="C8" i="23"/>
  <c r="U8" i="29"/>
  <c r="K8" i="29"/>
  <c r="C8" i="29"/>
  <c r="D45" i="4"/>
  <c r="M28" i="8"/>
  <c r="R6" i="21"/>
  <c r="C6" i="21"/>
  <c r="N13" i="4"/>
  <c r="D38" i="35"/>
  <c r="C18" i="21"/>
  <c r="C14" i="8"/>
  <c r="S14" i="8"/>
  <c r="C20" i="21"/>
  <c r="R20" i="21"/>
  <c r="P25" i="21"/>
  <c r="P13" i="21"/>
  <c r="P38" i="22"/>
  <c r="M28" i="29"/>
  <c r="C10" i="29"/>
  <c r="U10" i="29"/>
  <c r="K10" i="29"/>
  <c r="P31" i="7"/>
  <c r="L31" i="7"/>
  <c r="C8" i="22"/>
  <c r="I12" i="30"/>
  <c r="O46" i="8"/>
  <c r="K36" i="8"/>
  <c r="M29" i="8"/>
  <c r="C38" i="22"/>
  <c r="T38" i="22"/>
  <c r="M38" i="22"/>
  <c r="D41" i="8"/>
  <c r="S41" i="8"/>
  <c r="U41" i="8"/>
  <c r="O48" i="8"/>
  <c r="M34" i="8"/>
  <c r="L6" i="7"/>
  <c r="P9" i="7"/>
  <c r="C18" i="25"/>
  <c r="R19" i="25"/>
  <c r="O52" i="8"/>
  <c r="M36" i="8"/>
  <c r="L9" i="7"/>
  <c r="P22" i="7"/>
  <c r="P25" i="7"/>
  <c r="L25" i="7"/>
  <c r="P24" i="25"/>
  <c r="C19" i="25"/>
  <c r="D48" i="8"/>
  <c r="S48" i="8"/>
  <c r="U48" i="8"/>
  <c r="S46" i="8"/>
  <c r="U46" i="8"/>
  <c r="D46" i="8"/>
  <c r="C24" i="25"/>
  <c r="T24" i="25"/>
  <c r="C25" i="25"/>
  <c r="D52" i="8"/>
  <c r="S52" i="8"/>
  <c r="U52" i="8"/>
  <c r="N14" i="7"/>
  <c r="L22" i="7"/>
  <c r="G14" i="7"/>
  <c r="R14" i="7"/>
  <c r="J14" i="7"/>
  <c r="D12" i="4"/>
  <c r="R12" i="4"/>
  <c r="P13" i="4"/>
  <c r="R13" i="4"/>
  <c r="D13" i="4"/>
  <c r="U14" i="29"/>
  <c r="U17" i="29"/>
  <c r="C20" i="28"/>
  <c r="C22" i="29"/>
  <c r="V9" i="28"/>
  <c r="K9" i="28"/>
  <c r="K34" i="28"/>
  <c r="C9" i="28"/>
  <c r="M9" i="28"/>
  <c r="K29" i="28"/>
  <c r="K30" i="28"/>
  <c r="M43" i="28"/>
  <c r="W17" i="29"/>
  <c r="C16" i="29"/>
  <c r="W14" i="29"/>
  <c r="P48" i="28"/>
  <c r="C22" i="27"/>
  <c r="M17" i="27"/>
  <c r="C10" i="27"/>
  <c r="T10" i="27"/>
  <c r="M10" i="27"/>
  <c r="M28" i="26"/>
  <c r="M36" i="26"/>
  <c r="M39" i="26"/>
  <c r="P3" i="27"/>
  <c r="T3" i="27"/>
  <c r="I3" i="27"/>
  <c r="M10" i="26"/>
  <c r="M14" i="26"/>
  <c r="L25" i="23"/>
  <c r="L32" i="23"/>
  <c r="L35" i="23"/>
  <c r="L42" i="23"/>
  <c r="L45" i="23"/>
  <c r="C12" i="23"/>
  <c r="S12" i="23"/>
  <c r="L12" i="23"/>
  <c r="M39" i="22"/>
  <c r="L9" i="23"/>
  <c r="L10" i="23"/>
  <c r="T20" i="22"/>
  <c r="J41" i="21"/>
  <c r="C22" i="21"/>
  <c r="V24" i="21"/>
  <c r="R13" i="21"/>
  <c r="R12" i="21"/>
  <c r="P24" i="21"/>
  <c r="K26" i="19"/>
  <c r="J12" i="20"/>
  <c r="L12" i="20"/>
  <c r="L13" i="20"/>
  <c r="L15" i="20"/>
  <c r="D45" i="17"/>
  <c r="U49" i="17"/>
  <c r="U48" i="17"/>
  <c r="W48" i="17"/>
  <c r="S46" i="17"/>
  <c r="W49" i="17"/>
  <c r="N17" i="17"/>
  <c r="L41" i="17"/>
  <c r="S50" i="17"/>
  <c r="S47" i="17"/>
  <c r="M26" i="16"/>
  <c r="M6" i="16"/>
  <c r="M8" i="16"/>
  <c r="L10" i="16"/>
  <c r="M30" i="14"/>
  <c r="U21" i="14"/>
  <c r="H24" i="14"/>
  <c r="H21" i="14"/>
  <c r="G10" i="14"/>
  <c r="U10" i="14"/>
  <c r="G12" i="14"/>
  <c r="O36" i="13"/>
  <c r="S36" i="13"/>
  <c r="H36" i="13"/>
  <c r="T35" i="12"/>
  <c r="F35" i="12"/>
  <c r="H27" i="12"/>
  <c r="L32" i="12"/>
  <c r="L33" i="12"/>
  <c r="P38" i="12"/>
  <c r="E37" i="12"/>
  <c r="J25" i="10"/>
  <c r="F27" i="6"/>
  <c r="O27" i="6"/>
  <c r="S27" i="6"/>
  <c r="G27" i="6"/>
  <c r="K18" i="6"/>
  <c r="O20" i="6"/>
  <c r="F20" i="6"/>
  <c r="S20" i="6"/>
  <c r="G20" i="6"/>
  <c r="F10" i="6"/>
  <c r="S10" i="6"/>
  <c r="K35" i="28"/>
  <c r="M4" i="29"/>
  <c r="M11" i="29"/>
  <c r="K38" i="28"/>
  <c r="K40" i="28"/>
  <c r="M17" i="28"/>
  <c r="Q23" i="29"/>
  <c r="M23" i="29"/>
  <c r="M24" i="29"/>
  <c r="M29" i="29"/>
  <c r="K24" i="28"/>
  <c r="K25" i="28"/>
  <c r="H3" i="27"/>
  <c r="P23" i="27"/>
  <c r="C19" i="23"/>
  <c r="L15" i="23"/>
  <c r="C24" i="21"/>
  <c r="R25" i="21"/>
  <c r="C25" i="21"/>
  <c r="T12" i="21"/>
  <c r="C12" i="21"/>
  <c r="T13" i="21"/>
  <c r="C13" i="21"/>
  <c r="Y46" i="17"/>
  <c r="N35" i="17"/>
  <c r="D46" i="17"/>
  <c r="Y49" i="17"/>
  <c r="N40" i="17"/>
  <c r="D49" i="17"/>
  <c r="Y48" i="17"/>
  <c r="D48" i="17"/>
  <c r="N39" i="17"/>
  <c r="W47" i="17"/>
  <c r="W50" i="17"/>
  <c r="Y50" i="17"/>
  <c r="T38" i="12"/>
  <c r="G37" i="12"/>
  <c r="C13" i="6"/>
  <c r="G10" i="6"/>
  <c r="G40" i="11"/>
  <c r="R41" i="11"/>
  <c r="H40" i="11"/>
  <c r="K38" i="11"/>
  <c r="V23" i="27"/>
  <c r="M11" i="27"/>
  <c r="M12" i="27"/>
  <c r="M19" i="27"/>
  <c r="D50" i="17"/>
  <c r="N36" i="17"/>
  <c r="N41" i="17"/>
  <c r="Y47" i="17"/>
  <c r="D47" i="17"/>
  <c r="C23" i="27"/>
  <c r="D48" i="28"/>
  <c r="P49" i="28"/>
  <c r="T48" i="28"/>
  <c r="K48" i="28"/>
  <c r="M48" i="28"/>
  <c r="M49" i="28"/>
  <c r="C14" i="29"/>
</calcChain>
</file>

<file path=xl/sharedStrings.xml><?xml version="1.0" encoding="utf-8"?>
<sst xmlns="http://schemas.openxmlformats.org/spreadsheetml/2006/main" count="1734" uniqueCount="838">
  <si>
    <t>used during the month. Only when the materials are withdrawn from inventory for use in production</t>
  </si>
  <si>
    <t>are they known as “direct materials.”</t>
  </si>
  <si>
    <t>The cost of goods manufactured is the sum of direct materials, direct labor, and overhead used in</t>
  </si>
  <si>
    <t>The opportunity cost of the installation process is the loss of the playhouses that</t>
  </si>
  <si>
    <t>could have been built by the two workers who were pulled off the production line.</t>
  </si>
  <si>
    <t>The income statement showing each account as a percentage of sales helps focus</t>
  </si>
  <si>
    <t>To find b, one can rearrange the Cost of Goods Manufactured equation to solve for</t>
  </si>
  <si>
    <t>Direct Labor Used in Production (i.e., the unknown, or b):</t>
  </si>
  <si>
    <t>Thus, in order to find b, we first need to calculate Cost of Goods Manufactured as</t>
  </si>
  <si>
    <t>follows:</t>
  </si>
  <si>
    <t>calculate COGS.</t>
  </si>
  <si>
    <t>Direct materials include all the food items that go into a burger bag, as well as the</t>
  </si>
  <si>
    <t>Direct labor consists of the part-time employees who cook food and fill orders.</t>
  </si>
  <si>
    <t>Manufacturing overhead consists of all indirect costs associated with the production</t>
  </si>
  <si>
    <t>process. These are the utilities, rent for the building, depreciation on the equipment</t>
  </si>
  <si>
    <t>and register, and cost of janitorial fees and supplies.</t>
  </si>
  <si>
    <t>Selling and administrative expense includes John Peterson’s salary, advertising,</t>
  </si>
  <si>
    <t>accounting fees, and taxes.</t>
  </si>
  <si>
    <t>confined to government taxing authorities and a bank (if a loan or line of credit is</t>
  </si>
  <si>
    <t>necessary). Elena’s accounting works well for those purposes.</t>
  </si>
  <si>
    <t xml:space="preserve">If Linda returns to school, she will need to quit her job. The lost salary is the </t>
  </si>
  <si>
    <t>opportunity cost of returning to school.</t>
  </si>
  <si>
    <t>If Randy were engaged in manufacturing a product, his salary would be a</t>
  </si>
  <si>
    <t>product cost. Instead, the product has been manufactured. It is in the finished</t>
  </si>
  <si>
    <t>goods warehouse waiting to be sold. This is a period cost.</t>
  </si>
  <si>
    <t>All factory costs other than direct materials and direct labor are, by definition,</t>
  </si>
  <si>
    <t>overhead.</t>
  </si>
  <si>
    <t>The design engineer is estimating the total number of labor hours required to</t>
  </si>
  <si>
    <t>complete the manufacturing of a product. This total will be used to compute</t>
  </si>
  <si>
    <t>direct labor cost.</t>
  </si>
  <si>
    <t>Before COGM can be calculated, Direct Materials Used in Production must first be</t>
  </si>
  <si>
    <t>calculated as:</t>
  </si>
  <si>
    <t xml:space="preserve">assigned using equipment hours. Pipe and other direct labor can be assigned using </t>
  </si>
  <si>
    <t>That is, equipment hours increase because there is more pipe being laid. As hours</t>
  </si>
  <si>
    <t>Part-time employees’ wages……………………………………………………………………………………….</t>
  </si>
  <si>
    <t>John Peterson’s salary……………………………………………………………………………………….</t>
  </si>
  <si>
    <t>Utilities……………………………………………………………………………………….</t>
  </si>
  <si>
    <t>Rent……………………………………………………………………………………….</t>
  </si>
  <si>
    <t>Advertising……………………………………………………………………………………….</t>
  </si>
  <si>
    <t>Janitor’s wages……………………………………………………………………………………….</t>
  </si>
  <si>
    <t>Janitorial supplies……………………………………………………………………………………….</t>
  </si>
  <si>
    <t>Accounting fees……………………………………………………………………………………….</t>
  </si>
  <si>
    <t>Taxes……………………………………………………………………………………….</t>
  </si>
  <si>
    <t>Totals……………………………………………………………………………………….</t>
  </si>
  <si>
    <t>Direct materials……………………………………………………………………………………………………………………………………….</t>
  </si>
  <si>
    <t>Direct labor…………………………………………………………………………………………………………………………………………….</t>
  </si>
  <si>
    <t>Manufacturing overhead…………………………………………………………………………………………………………………………….</t>
  </si>
  <si>
    <t>Gross margin………………………………………………………………………………………………………………………………………………</t>
  </si>
  <si>
    <t>Net income…………………………………………………………………………………………………………………………………………….</t>
  </si>
  <si>
    <t>Direct materials used………………………………………………………………………………………………………………………...</t>
  </si>
  <si>
    <t>Direct labor……………………………………………………………………………………………………………………</t>
  </si>
  <si>
    <t>Manufacturing overhead……………………………………………………………………………………………………………………</t>
  </si>
  <si>
    <t>Work in process, July 1……………………………………………………………………………………………………………………</t>
  </si>
  <si>
    <t>Work in process, July 31……………………………………………………………………………………………………………………</t>
  </si>
  <si>
    <t>Cost of goods manufactured……………………………………………………………………………………………………………………</t>
  </si>
  <si>
    <t>Finished goods inventory, July 1……………………………………………………………………………………………………………………</t>
  </si>
  <si>
    <t>Finished good inventory, July 31……………………………………………………………………………………………………………………</t>
  </si>
  <si>
    <t>Direct materials……………………………………………………………………………………………………………………</t>
  </si>
  <si>
    <t>Total manufacturing cost for July……………………………………………………………………………………………………………………</t>
  </si>
  <si>
    <t>Cost of goods sold……………………………………………………………………………………………………………………</t>
  </si>
  <si>
    <t>Unit product cost……………………………………………………………………………………………………………………</t>
  </si>
  <si>
    <t>Cost of goods sold……………………………………………………………………………………………………………………………………………..</t>
  </si>
  <si>
    <t>Cost of goods sold………………………………………………………………………………………………………………………………………..</t>
  </si>
  <si>
    <t>Cost of goods sold………………………………………………………………………………………………………………………………………………..</t>
  </si>
  <si>
    <t>Gross margin……………………………………………………………………………………………………………………………………………</t>
  </si>
  <si>
    <t>Fixed selling expense…………………………………………………………………………………………………………………………………………</t>
  </si>
  <si>
    <t>Administrative expense……………………………………………………………………………………………………………………………………….</t>
  </si>
  <si>
    <t>Operating income………………………………………………………………………………………………………………………………………………….</t>
  </si>
  <si>
    <t>Gross margin………………………………………………………………………………………………………………………</t>
  </si>
  <si>
    <t>Fixed selling expense………………………………………………………………………………………………………………………………………………</t>
  </si>
  <si>
    <t>Administrative expense……………………………………………………………………………………………………………………………………………</t>
  </si>
  <si>
    <t>Operating income………………………………………………………………………………………………………………………………</t>
  </si>
  <si>
    <t>Direct materials used…………………………………………………………………………………………………………………………</t>
  </si>
  <si>
    <t>Direct labor…………………………………………………………………………………………………………………………………….</t>
  </si>
  <si>
    <t>Factory supplies…………………………………………………………………………………………………………………………..</t>
  </si>
  <si>
    <t>Factory insurance…………………………………………………………………………………………………………………………</t>
  </si>
  <si>
    <t>Factory supervision………………………………………………………………………………………………………………………</t>
  </si>
  <si>
    <t>Material handling………………………………………………………………………………………………………………………….</t>
  </si>
  <si>
    <t>Total manufacturing cost for May……………………………………………………………………………………………………………………………………</t>
  </si>
  <si>
    <t>Work in process, May 1……………………………………………………………………………………………………………………………………………..</t>
  </si>
  <si>
    <t>Work in process, May 31……………………………………………………………………………………………………………………………………………</t>
  </si>
  <si>
    <t>Cost of goods manufactured………………………………………………………………………………………………………………………………………..</t>
  </si>
  <si>
    <t>2-1.</t>
  </si>
  <si>
    <t>2-2.</t>
  </si>
  <si>
    <t>2-3.</t>
  </si>
  <si>
    <t>2-4.</t>
  </si>
  <si>
    <t>2-5.</t>
  </si>
  <si>
    <t>2-6.</t>
  </si>
  <si>
    <t>2-7.</t>
  </si>
  <si>
    <t>2-8.</t>
  </si>
  <si>
    <t>2-9.</t>
  </si>
  <si>
    <t>2-10.</t>
  </si>
  <si>
    <t>2-11.</t>
  </si>
  <si>
    <t>2-12.</t>
  </si>
  <si>
    <t>2-13.</t>
  </si>
  <si>
    <t>2-14.</t>
  </si>
  <si>
    <t>2-15.</t>
  </si>
  <si>
    <t>2-16.</t>
  </si>
  <si>
    <t>2-17.</t>
  </si>
  <si>
    <t>2-18.</t>
  </si>
  <si>
    <t>CE 2-24</t>
  </si>
  <si>
    <t>CE 2-25</t>
  </si>
  <si>
    <t>CE 2-26</t>
  </si>
  <si>
    <t>CE 2-23</t>
  </si>
  <si>
    <t>E 2-31</t>
  </si>
  <si>
    <t>E 2-32</t>
  </si>
  <si>
    <t>E 2-33</t>
  </si>
  <si>
    <t>E 2-34</t>
  </si>
  <si>
    <t>E 2-35</t>
  </si>
  <si>
    <t>E 2-36</t>
  </si>
  <si>
    <t>E 2-37</t>
  </si>
  <si>
    <t>E 2-38</t>
  </si>
  <si>
    <t>E 2-39</t>
  </si>
  <si>
    <t>E 2-40</t>
  </si>
  <si>
    <t>E 2-41</t>
  </si>
  <si>
    <t>E 2-42</t>
  </si>
  <si>
    <t>BASIC MANAGERIAL ACCOUNTING CONCEPTS</t>
  </si>
  <si>
    <t>A period cost is one that is expensed immediately, rather than being inventoried like a product cost.</t>
  </si>
  <si>
    <t>CE 2-19</t>
  </si>
  <si>
    <t>CE 2-20</t>
  </si>
  <si>
    <t>CE 2-21</t>
  </si>
  <si>
    <t>CE 2-22</t>
  </si>
  <si>
    <t>always 100% of sales revenue)</t>
  </si>
  <si>
    <t>E 2-27</t>
  </si>
  <si>
    <t>E 2-28</t>
  </si>
  <si>
    <t>E 2-29</t>
  </si>
  <si>
    <t>E 2-30</t>
  </si>
  <si>
    <t>March 31</t>
  </si>
  <si>
    <t>Finished goods, March 1………………………………………………………………………………………………………………………….</t>
  </si>
  <si>
    <t>Finished goods, March 31………………………………………………………………………………………………………………………….</t>
  </si>
  <si>
    <t>Cost of goods sold………………………………………………………………………………………………………………………….</t>
  </si>
  <si>
    <t>See solution to Exercise 2-37.</t>
  </si>
  <si>
    <t>MULTIPLE-CHOICE QUESTIONS</t>
  </si>
  <si>
    <t>See solution to Exercise 2-40, Requirement 2.</t>
  </si>
  <si>
    <t>Finally, inserting Cost of Goods Manufactured into the earlier equation:</t>
  </si>
  <si>
    <t>Selling expense…………………………………………..……………………………………..</t>
  </si>
  <si>
    <t>A cost object is something for which you want to know the cost. For example, a cost object may be</t>
  </si>
  <si>
    <t>the human resources department of a company. The costs related to that cost object might include</t>
  </si>
  <si>
    <t>salaries of employees of that department, telephone costs for that department, and depreciation on</t>
  </si>
  <si>
    <t>office equipment. Another example is a customer group of a company. Atlantic City and Las Vegas</t>
  </si>
  <si>
    <t>casinos routinely treat heavy gamblers to free rooms, food, and drink. The casino owners know the</t>
  </si>
  <si>
    <t>benefits yielded by these high rollers and need to know the costs of keeping them happy, such as</t>
  </si>
  <si>
    <t xml:space="preserve"> the opportunity cost of lost revenue from the rooms, the cost of the food, and so on.</t>
  </si>
  <si>
    <t>A direct cost is one that can be traced to the cost object, typically by physical observation. An</t>
  </si>
  <si>
    <t>A product is tangible in that you can see, feel, and take it with you. Examples of products include a</t>
  </si>
  <si>
    <t>For example, the dental hygienist who cleans your teeth provides a service.</t>
  </si>
  <si>
    <t>tube of toothpaste, a car, or an orange. A service is a task or an activity performed for a customer.</t>
  </si>
  <si>
    <t>Manufacturing overhead includes all product costs other than direct materials and direct labor. It is</t>
  </si>
  <si>
    <t>P 2-45</t>
  </si>
  <si>
    <t>P 2-43</t>
  </si>
  <si>
    <t>P 2-43 (Continued)</t>
  </si>
  <si>
    <t>Less:  Selling and administrative expense……………………………………………………………………………………………………………</t>
  </si>
  <si>
    <t>P 2-44</t>
  </si>
  <si>
    <t>P 2-46</t>
  </si>
  <si>
    <t>P 2-46 (Continued)</t>
  </si>
  <si>
    <t>Cost of goods manufactured……………………………………………………………………………………………………………………………</t>
  </si>
  <si>
    <t>Finished goods inventory, May 1………………………………………………………………………………………………………………………</t>
  </si>
  <si>
    <t>Finished goods inventory, May 31……………………………………………………………………………………………………………………..</t>
  </si>
  <si>
    <t>Cost of goods sold…………………………………………………………………………………………………………………………………….</t>
  </si>
  <si>
    <t>Luisa</t>
  </si>
  <si>
    <t>Setups…………………………………………………………………………………………………………………………………………………………………</t>
  </si>
  <si>
    <t>Insurance………………………………………………………………………………………………………………………………………………………………</t>
  </si>
  <si>
    <t>Power……………………………………………………………………………………………………………………………………………………………………</t>
  </si>
  <si>
    <t>Cost of goods manufactured………………………………………………………………………………………………………………………………………</t>
  </si>
  <si>
    <t>Direct materials……………………………………………………………………………………………………………………………………………………..</t>
  </si>
  <si>
    <t>Direct labor…………………………………………………………………………………………………………………………………………………..</t>
  </si>
  <si>
    <t>Total prime costs……………………………………………………………………………………………………………………………………………..</t>
  </si>
  <si>
    <t>Direct materials…………………………………………………………………………………………………………………………………………………….</t>
  </si>
  <si>
    <t>Direct labor………………………………………………………………………………………………………………………………………………………..</t>
  </si>
  <si>
    <t>Total prime costs…………………………………………………………………………………………………………………………………………………..</t>
  </si>
  <si>
    <t>Manufacturing overhead……………………………………………………………………………………………………………………………………….</t>
  </si>
  <si>
    <t>Total…………………………………………………………………………………………………………………………………………………..</t>
  </si>
  <si>
    <t>Magazine</t>
  </si>
  <si>
    <t>Brochure</t>
  </si>
  <si>
    <t>Total …………………………………………………………………………………………………………………………………………………</t>
  </si>
  <si>
    <t>Distribution of goods is a selling expense.</t>
  </si>
  <si>
    <t>Sales revenue…………………………………………………………………………………………………..……………………………………………….</t>
  </si>
  <si>
    <t>Cost of goods sold*………………………………………………………………………………………………..…………………………………………..</t>
  </si>
  <si>
    <t>Gross profit…………………………………………………………………………………………………………..………………………………………….</t>
  </si>
  <si>
    <t>Selling expense……………………………………………………………………………………………………..……………………………………….</t>
  </si>
  <si>
    <t>Administrative expense………………………………………………………………………………………………..…………………………………..</t>
  </si>
  <si>
    <t>Operating income……………………………………………………………………………………………………..………………………………………..</t>
  </si>
  <si>
    <t>Units completed during the year……………………………………………………………………….…………………………………………………..</t>
  </si>
  <si>
    <t>Steps in calculating the percentages (the percentages are rounded):</t>
  </si>
  <si>
    <t>Supervision in the factory…………………………………………………………………………………</t>
  </si>
  <si>
    <t>receptionist…………………………………………………………………………………</t>
  </si>
  <si>
    <t xml:space="preserve">Salary of the corporate </t>
  </si>
  <si>
    <t>equipment…………………………………………………………………………………</t>
  </si>
  <si>
    <t xml:space="preserve">Depreciation on factory </t>
  </si>
  <si>
    <t>Direct materials……………………………………………………………………………………………………………………………………..</t>
  </si>
  <si>
    <t>Direct labor……………………………………………………………………………………………………………………………………..</t>
  </si>
  <si>
    <t>Manufacturing overhead……………………………………………………………………………………………………………………………………..</t>
  </si>
  <si>
    <t>Total product cost……………………………………………………………………………………………………………………………………..</t>
  </si>
  <si>
    <t>packages……………………………………………………………………………………….</t>
  </si>
  <si>
    <t xml:space="preserve">Wrappers, bags, and condiment </t>
  </si>
  <si>
    <t>and fixtures……………………………………………………………………………………….</t>
  </si>
  <si>
    <t xml:space="preserve">Depreciation, cooking equipment </t>
  </si>
  <si>
    <t>***</t>
  </si>
  <si>
    <t>(OH)</t>
  </si>
  <si>
    <t>(DM)</t>
  </si>
  <si>
    <t>CPA fees</t>
  </si>
  <si>
    <t>Adm. salaries</t>
  </si>
  <si>
    <t>Traceable costs using equipment hours:</t>
  </si>
  <si>
    <t>Expenses</t>
  </si>
  <si>
    <t>Sales &amp;</t>
  </si>
  <si>
    <t>Percent</t>
  </si>
  <si>
    <t>B</t>
  </si>
  <si>
    <t>COGM</t>
  </si>
  <si>
    <t>Laworld Inc.</t>
  </si>
  <si>
    <t>For Last Year</t>
  </si>
  <si>
    <t xml:space="preserve">The costs of the tent sales are accounted for as selling expense. The tent </t>
  </si>
  <si>
    <t xml:space="preserve">sales are designed to sell outdated or remanufactured products. They are </t>
  </si>
  <si>
    <t xml:space="preserve">not the main reason that Kicker is in business. In fact, an important </t>
  </si>
  <si>
    <t xml:space="preserve">objective is simply to increase awareness of the Kicker brand. As a result, </t>
  </si>
  <si>
    <t>these related costs are selling expense.</t>
  </si>
  <si>
    <t xml:space="preserve">A couple of actions could be taken. First, it could look for a more </t>
  </si>
  <si>
    <t xml:space="preserve">appropriate venue. The outer parking lot of a shopping center, or even a </t>
  </si>
  <si>
    <t xml:space="preserve">large grocery store, would enable Kicker employees to easily load </t>
  </si>
  <si>
    <t>11.</t>
  </si>
  <si>
    <t>12.</t>
  </si>
  <si>
    <t>13.</t>
  </si>
  <si>
    <t>14.</t>
  </si>
  <si>
    <t>15.</t>
  </si>
  <si>
    <t xml:space="preserve">1. </t>
  </si>
  <si>
    <t>Pop’s Drive-Thru Burger Heaven</t>
  </si>
  <si>
    <t>For the Month of December</t>
  </si>
  <si>
    <t>Less cost of goods sold:</t>
  </si>
  <si>
    <t>(1)</t>
  </si>
  <si>
    <t>(2)</t>
  </si>
  <si>
    <t>(3)</t>
  </si>
  <si>
    <t xml:space="preserve">Elena’s simplifying assumptions were: </t>
  </si>
  <si>
    <t xml:space="preserve">all part-time employees are production workers, </t>
  </si>
  <si>
    <t xml:space="preserve">John Peterson’s salary is for selling and administrative functions, </t>
  </si>
  <si>
    <t xml:space="preserve">all taxes are administrative expense. </t>
  </si>
  <si>
    <t>(4)</t>
  </si>
  <si>
    <t>PROBLEMS</t>
  </si>
  <si>
    <t>Selling and</t>
  </si>
  <si>
    <t>Rent</t>
  </si>
  <si>
    <t>Explanation of Classification</t>
  </si>
  <si>
    <t xml:space="preserve">Direct </t>
  </si>
  <si>
    <t>Utilities</t>
  </si>
  <si>
    <t>X</t>
  </si>
  <si>
    <t>Jasper Company</t>
  </si>
  <si>
    <t>Sales revenue</t>
  </si>
  <si>
    <t>DISCUSSION QUESTIONS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</si>
  <si>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</si>
  <si>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</si>
  <si>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</si>
  <si>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</si>
  <si>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</si>
  <si>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</si>
  <si>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</si>
  <si>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</si>
  <si>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</si>
  <si>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</si>
  <si>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Salary of cell supervisor—Direct</t>
  </si>
  <si>
    <t>Power to heat and cool the plant in which the cell is located—Indirect</t>
  </si>
  <si>
    <t>Materials used to produce the motors—Direct</t>
  </si>
  <si>
    <t>Maintenance for the cell’s equipment—Indirect</t>
  </si>
  <si>
    <t>Labor used to produce motors—Direct</t>
  </si>
  <si>
    <t>Cafeteria that services the plant’s employees—Indirect</t>
  </si>
  <si>
    <t>Depreciation on the plant—Indirect</t>
  </si>
  <si>
    <t>Depreciation on equipment used to produce the motors—Direct</t>
  </si>
  <si>
    <t>Ordering costs for materials used in production—Indirect</t>
  </si>
  <si>
    <t>Engineering support—Indirect</t>
  </si>
  <si>
    <t>Cost of maintaining the plant and grounds—Indirect</t>
  </si>
  <si>
    <t>Cost of the plant’s personnel office—Indirect</t>
  </si>
  <si>
    <t>Property tax on the plant and land—Indirect</t>
  </si>
  <si>
    <t>Direct materials—Product cost</t>
  </si>
  <si>
    <t xml:space="preserve">indirect cost cannot be traced easily and accurately to the cost object. The same cost can be direct </t>
  </si>
  <si>
    <t xml:space="preserve">for one purpose and indirect for another. For example, the salaries paid to purchasing department </t>
  </si>
  <si>
    <t>[This was calculated in Cornerstone Exercise 2-21.]</t>
  </si>
  <si>
    <t xml:space="preserve">For this small business, there is little problem with misclassifying Pop’s expenses. </t>
  </si>
  <si>
    <t>Cost is the amount of cash or cash equivalent sacrificed for goods and/or services that are</t>
  </si>
  <si>
    <t xml:space="preserve">expected to bring a current or future benefit to the organization. An expense is an expired cost; </t>
  </si>
  <si>
    <t>the benefit has been used up.</t>
  </si>
  <si>
    <t xml:space="preserve">Accumulating costs is the way that costs are measured and recorded. Assigning costs is linking </t>
  </si>
  <si>
    <t xml:space="preserve">costs to some cost object. For example, a company accumulates or tracks costs by entering </t>
  </si>
  <si>
    <t xml:space="preserve">them into the general ledger accounts. Direct materials would be entered into the materials </t>
  </si>
  <si>
    <t xml:space="preserve">account; direct labor would be entered into the direct labor account. Then, these costs are </t>
  </si>
  <si>
    <t>assigned to units of product.</t>
  </si>
  <si>
    <t>(overhead) to units of product.</t>
  </si>
  <si>
    <t>employees in a factory are a direct cost to the purchasing department but an indirect cost</t>
  </si>
  <si>
    <t xml:space="preserve">Allocation means that an indirect cost is assigned to a cost object using a reasonable and </t>
  </si>
  <si>
    <t xml:space="preserve">convenient method. Since no causal relationship exists, allocating indirect costs is based on </t>
  </si>
  <si>
    <t>convenience or some assumed linkage.</t>
  </si>
  <si>
    <t xml:space="preserve">because the remaining manufacturing (product) costs are gathered into one category that </t>
  </si>
  <si>
    <t>overhead is often thought of as a “catchall.”</t>
  </si>
  <si>
    <t>Prime cost is the sum of direct materials and direct labor. Conversion cost is the sum of direct</t>
  </si>
  <si>
    <t xml:space="preserve">labor and overhead. Total product cost consists of direct materials, direct labor, and overhead. </t>
  </si>
  <si>
    <t xml:space="preserve">This is not equal to the sum of prime cost and conversion cost because then direct labor would </t>
  </si>
  <si>
    <t>be double counted.</t>
  </si>
  <si>
    <t xml:space="preserve">Selling cost is the cost of selling and delivering products and services. Examples include free </t>
  </si>
  <si>
    <t xml:space="preserve">samples, advertising, sponsorship of sporting events, commissions on sales, and the </t>
  </si>
  <si>
    <t>depreciation on delivery trucks (such as Coca-Cola or Pepsi trucks).</t>
  </si>
  <si>
    <t xml:space="preserve">The cost of goods manufactured is the cost of direct materials, direct labor, and overhead for the </t>
  </si>
  <si>
    <t xml:space="preserve">units produced (completed) during a time period. The cost of goods sold is the cost of direct </t>
  </si>
  <si>
    <t xml:space="preserve">materials, direct labor, and overhead for the units sold during a time period. The number of units </t>
  </si>
  <si>
    <t xml:space="preserve">produced is not necessarily equal to the number of units sold during a period. For example, a </t>
  </si>
  <si>
    <t>company may produce 1,000 pairs of jeans in a month but sell only 900 pairs.</t>
  </si>
  <si>
    <t xml:space="preserve">The income statement for a manufacturing firm includes the cost of goods sold, which is the sum </t>
  </si>
  <si>
    <t>of direct materials, direct labor, and manufacturing overhead. The income statement for a service</t>
  </si>
  <si>
    <t xml:space="preserve">firm contains no cost of goods sold because there is no product to purchase or to manufacture </t>
  </si>
  <si>
    <t xml:space="preserve">and, thus, there is no inventory account to expense as cost of goods sold. In addition, because </t>
  </si>
  <si>
    <t xml:space="preserve">there is no cost of goods sold on the income statement of a service firm, there is no gross margin, </t>
  </si>
  <si>
    <t>unlike a manufacturing firm.</t>
  </si>
  <si>
    <t xml:space="preserve">The percentage column on the income statement gives some insight into the relative spending </t>
  </si>
  <si>
    <t xml:space="preserve">on the various expense categories. These percentages can then be compared with those of other </t>
  </si>
  <si>
    <t xml:space="preserve">firms in the same industry to see if the company’s spending appears to be in line or out of line with  </t>
  </si>
  <si>
    <t>the experiences of others.</t>
  </si>
  <si>
    <t>in production than it had anticipated when purchasing materials. Regardless of the</t>
  </si>
  <si>
    <t>experienced stronger than expected sales in June and used more direct materials</t>
  </si>
  <si>
    <t>inventory.</t>
  </si>
  <si>
    <t>producing the units completed during the current period and transferred to finished goods</t>
  </si>
  <si>
    <t>Direct labor—Product cost</t>
  </si>
  <si>
    <t>Manufacturing overhead—Product cost</t>
  </si>
  <si>
    <t>Selling expense—Period cost</t>
  </si>
  <si>
    <t>Direct</t>
  </si>
  <si>
    <t>Materials</t>
  </si>
  <si>
    <t>Labor</t>
  </si>
  <si>
    <t xml:space="preserve">Manufact. </t>
  </si>
  <si>
    <t>Overhead</t>
  </si>
  <si>
    <t xml:space="preserve">Selling </t>
  </si>
  <si>
    <t>Expense</t>
  </si>
  <si>
    <t xml:space="preserve">Administrative </t>
  </si>
  <si>
    <t>Product Cost</t>
  </si>
  <si>
    <t>Period Cost</t>
  </si>
  <si>
    <t xml:space="preserve">Depreciation on the </t>
  </si>
  <si>
    <t xml:space="preserve">Salary of the factory </t>
  </si>
  <si>
    <t xml:space="preserve">Indirect labor in the </t>
  </si>
  <si>
    <t>Derek</t>
  </si>
  <si>
    <t>Lawanna</t>
  </si>
  <si>
    <t>Costs</t>
  </si>
  <si>
    <t>Salaries</t>
  </si>
  <si>
    <t>Commissions</t>
  </si>
  <si>
    <t>Selling</t>
  </si>
  <si>
    <t>Administrative</t>
  </si>
  <si>
    <t>a</t>
  </si>
  <si>
    <t>b</t>
  </si>
  <si>
    <t>e</t>
  </si>
  <si>
    <t>c</t>
  </si>
  <si>
    <t>d</t>
  </si>
  <si>
    <t>a.</t>
  </si>
  <si>
    <t>b.</t>
  </si>
  <si>
    <t>c.</t>
  </si>
  <si>
    <t>=</t>
  </si>
  <si>
    <t>Slapshot Company</t>
  </si>
  <si>
    <t>Cost of Goods Sold Statement</t>
  </si>
  <si>
    <t>Number of units sold:</t>
  </si>
  <si>
    <t>Income Statement</t>
  </si>
  <si>
    <t>Less:</t>
  </si>
  <si>
    <t>Selling expense:</t>
  </si>
  <si>
    <t>Cost</t>
  </si>
  <si>
    <t>Percent*</t>
  </si>
  <si>
    <t>1.</t>
  </si>
  <si>
    <t>2.</t>
  </si>
  <si>
    <t>3.</t>
  </si>
  <si>
    <t>4.</t>
  </si>
  <si>
    <t>5.</t>
  </si>
  <si>
    <t>6.</t>
  </si>
  <si>
    <t>Allstar Exposure</t>
  </si>
  <si>
    <t>For the Past Month</t>
  </si>
  <si>
    <t>Less operating expenses:</t>
  </si>
  <si>
    <t>EXERCISES</t>
  </si>
  <si>
    <t xml:space="preserve"> CORNERSTONE EXERCISES</t>
  </si>
  <si>
    <t>For the Last Year</t>
  </si>
  <si>
    <t>*</t>
  </si>
  <si>
    <t>f</t>
  </si>
  <si>
    <t>of Sales</t>
  </si>
  <si>
    <t>Operating income………………………………………………………………..</t>
  </si>
  <si>
    <t>Selling …………………………………………………………...…………………….</t>
  </si>
  <si>
    <t>Administrative …………………………………………………….……………..</t>
  </si>
  <si>
    <t>Gross margin………………………………………………………..………….</t>
  </si>
  <si>
    <t>Less cost of goods sold…………………………………………...……………….</t>
  </si>
  <si>
    <t>**</t>
  </si>
  <si>
    <t xml:space="preserve">purchased product into customer cars. Second, the disc jockey could be </t>
  </si>
  <si>
    <t>monthly labor hours as machine labor only operates the presses.</t>
  </si>
  <si>
    <t>Magazine:</t>
  </si>
  <si>
    <t>Brochure:</t>
  </si>
  <si>
    <t>Brochures:</t>
  </si>
  <si>
    <t xml:space="preserve"> </t>
  </si>
  <si>
    <t>W. W. Phillips Company</t>
  </si>
  <si>
    <t>7.</t>
  </si>
  <si>
    <t>This is direct materials cost.</t>
  </si>
  <si>
    <t>The sum of direct materials and direct labor is, by definition, prime cost.</t>
  </si>
  <si>
    <t>9.</t>
  </si>
  <si>
    <t>10.</t>
  </si>
  <si>
    <t>8.</t>
  </si>
  <si>
    <t>Direct materials:</t>
  </si>
  <si>
    <t>Direct labor:</t>
  </si>
  <si>
    <t>Total monthly conversion cost:</t>
  </si>
  <si>
    <t>Revised Income Statement</t>
  </si>
  <si>
    <t>Hayward Company</t>
  </si>
  <si>
    <t>Statement of Cost of Goods Manufactured</t>
  </si>
  <si>
    <t>For the Month of May</t>
  </si>
  <si>
    <t>Manufacturing overhead:</t>
  </si>
  <si>
    <t>Statement of Cost of Goods Sold</t>
  </si>
  <si>
    <t>Machine operators</t>
  </si>
  <si>
    <t>Other direct labor</t>
  </si>
  <si>
    <t>Supervisory salaries</t>
  </si>
  <si>
    <t>Pipe</t>
  </si>
  <si>
    <t>Tires and fuel</t>
  </si>
  <si>
    <t>Depreciation, equipment</t>
  </si>
  <si>
    <t>Salaries of mechanics</t>
  </si>
  <si>
    <t>Sales salaries</t>
  </si>
  <si>
    <t>Advertising</t>
  </si>
  <si>
    <t>P 2-47</t>
  </si>
  <si>
    <t>P 2-48</t>
  </si>
  <si>
    <t>P 2-49</t>
  </si>
  <si>
    <t>Now,</t>
  </si>
  <si>
    <t>P 2-49 (Continued)</t>
  </si>
  <si>
    <t>Berry Company</t>
  </si>
  <si>
    <t>Cost of goods sold…………………………………...…………………………………….</t>
  </si>
  <si>
    <t>Gross margin…………………………………………………………………………….</t>
  </si>
  <si>
    <t>Administrative expense…………………………………………….……………………………….</t>
  </si>
  <si>
    <t>Operating income…………………………………………...……………………………</t>
  </si>
  <si>
    <t>P 2-50</t>
  </si>
  <si>
    <t>P 2-50 (Continued)</t>
  </si>
  <si>
    <t>P 2-51</t>
  </si>
  <si>
    <t>j</t>
  </si>
  <si>
    <t>P 2-52</t>
  </si>
  <si>
    <t>P 2-53</t>
  </si>
  <si>
    <t>Case 2-54</t>
  </si>
  <si>
    <t xml:space="preserve">               =</t>
  </si>
  <si>
    <t>Case 2-55</t>
  </si>
  <si>
    <t>Direct materials*………………………………………………………………….……………………………………………….…..</t>
  </si>
  <si>
    <t>Direct labor……………………………………………………………………….…………………………..………………………</t>
  </si>
  <si>
    <t>Indirect labor……………………………………………………………………….…………..……………………………</t>
  </si>
  <si>
    <t>Rent, factory building…………………………………………………………….……………….……………………………</t>
  </si>
  <si>
    <t>Depreciation, factory equipment…………………………………………………….……………………………………….………</t>
  </si>
  <si>
    <t>Utilities, factory……………………………………………………………………….………………………………..…………………</t>
  </si>
  <si>
    <t>Total cost of product………………………………………………………………….………………………..…………………..</t>
  </si>
  <si>
    <t>Beginning work in process………………………………………………………….……………………...……………………….………………</t>
  </si>
  <si>
    <t>Ending work in process……………………………………………………………….…………………….…………..………………………….</t>
  </si>
  <si>
    <t>Cost of goods manufactured……………………………………………………….…………………………...……………..</t>
  </si>
  <si>
    <t>Cost of goods sold**………………………………………………………..………………………...…………………………..</t>
  </si>
  <si>
    <t>Gross margin………………………………………………………………..……………...……………………………………….</t>
  </si>
  <si>
    <t>Sales supervisor’s salary…………………………………………………..………………………………………..…………………...………………..</t>
  </si>
  <si>
    <t>Commissions………………………………………………………………..………………………………………..…………………...………………………</t>
  </si>
  <si>
    <t>General administration expense……………………………………………………………………..……………………………………………...……………..</t>
  </si>
  <si>
    <t>Operating income…………………………………………………………..…………………………..………………………………………..…………………</t>
  </si>
  <si>
    <t>Revenue…………………………………………………………………………………………………………………………..</t>
  </si>
  <si>
    <t>Tent sale expense……………………………………………………………………………………………………………………..</t>
  </si>
  <si>
    <t>Tent sale loss………………………………………………………………………………………………………………..</t>
  </si>
  <si>
    <t>Machine operators…………………………………………………………………………………………………………….</t>
  </si>
  <si>
    <t>Other direct labor……………………………………………………………………………………………………….</t>
  </si>
  <si>
    <t>Pipe……………………………………………………………………………………………………….</t>
  </si>
  <si>
    <t>Tires and fuel……………………………………………………………………………………………………….</t>
  </si>
  <si>
    <t>Depreciation, equipment……………………………………………………………………………………………………….</t>
  </si>
  <si>
    <t>Salaries of mechanics……………………………………………………………………………………………………….</t>
  </si>
  <si>
    <t>Total……………………………………………………………………………………………………….</t>
  </si>
  <si>
    <t>Gross margin………………………………...……………………………………….…………………………………………….………………………………….</t>
  </si>
  <si>
    <t>Operating income…………………………………..………………………………...………………………………………….………………………………….</t>
  </si>
  <si>
    <t>Therefore, e</t>
  </si>
  <si>
    <t xml:space="preserve">=  </t>
  </si>
  <si>
    <t>June 1</t>
  </si>
  <si>
    <t>June 30</t>
  </si>
  <si>
    <t>June</t>
  </si>
  <si>
    <t>January 1</t>
  </si>
  <si>
    <t>December 31</t>
  </si>
  <si>
    <t>March 1</t>
  </si>
  <si>
    <t xml:space="preserve">dispensed with; instead, music could be played from CDs over the audio </t>
  </si>
  <si>
    <t xml:space="preserve">system in the truck. Third, Kicker could spend a year or so raising brand </t>
  </si>
  <si>
    <t>awareness in the Austin market before attempting another tent sale.</t>
  </si>
  <si>
    <t>CASES</t>
  </si>
  <si>
    <t>Production</t>
  </si>
  <si>
    <t>(DL)</t>
  </si>
  <si>
    <t xml:space="preserve"> + </t>
  </si>
  <si>
    <t xml:space="preserve"> = </t>
  </si>
  <si>
    <t xml:space="preserve"> × </t>
  </si>
  <si>
    <t xml:space="preserve"> – </t>
  </si>
  <si>
    <t xml:space="preserve"> ÷ </t>
  </si>
  <si>
    <t>Direct materials………………………………………………………………………………………………………..</t>
  </si>
  <si>
    <t>Direct labor……………………………………………………………………………………………………..</t>
  </si>
  <si>
    <t>Manufacturing overhead……………………………………………………………………………………………………..</t>
  </si>
  <si>
    <t>Total product cost……………………………………………………………………………………………………..</t>
  </si>
  <si>
    <t>Direct materials……………………………………………………………………………………………………..</t>
  </si>
  <si>
    <t>Total prime cost……………………………………………………………………………………………………..</t>
  </si>
  <si>
    <t>Purchases…………………………………………………………………………………………………….</t>
  </si>
  <si>
    <t>Direct materials used in production…………………………………………………………………………………………………….</t>
  </si>
  <si>
    <t>Direct materials*…………………………………………………………………………………………………….</t>
  </si>
  <si>
    <t>Direct labor…………………………………………………………………………………………………….</t>
  </si>
  <si>
    <t>Manufacturing overhead…………………………………………………………………………………………………….</t>
  </si>
  <si>
    <t>Total manufacturing cost for June…………………………………………………………………………………………………….</t>
  </si>
  <si>
    <t>Cost of goods manufactured…………………………………………………………………………………………………….</t>
  </si>
  <si>
    <t>Cost of goods manufactured………………………………….…………………………………………….………………………………………………</t>
  </si>
  <si>
    <t>Cost of goods sold…………………………………………………………………………….…………………………………………….……………….</t>
  </si>
  <si>
    <t>Cost of goods sold ……………………………………..…………………………………….…………………………………………….……………………..</t>
  </si>
  <si>
    <t>Fixed selling expense ………………….………………………………………………...………………………………………….…………………………………………….……</t>
  </si>
  <si>
    <t>Administrative expense …………………………...………………….……………………...………………………………………….…………………………………………….…</t>
  </si>
  <si>
    <t>Cost of goods sold …………………………………………………………...………………………………...…………………..</t>
  </si>
  <si>
    <t>Gross margin………………………………………………………………...……………………...…………………….</t>
  </si>
  <si>
    <t xml:space="preserve">, or </t>
  </si>
  <si>
    <t>Fixed selling expense:</t>
  </si>
  <si>
    <t>Administrative expense:</t>
  </si>
  <si>
    <t>/</t>
  </si>
  <si>
    <t>Total………………………………………………………………………………………………………………………………………………</t>
  </si>
  <si>
    <t>Direct materials………………………………………………………………………………………………………………………..</t>
  </si>
  <si>
    <t>Direct labor……………………………………………………………………………………………………………………..</t>
  </si>
  <si>
    <t>Cost of Goods Sold</t>
  </si>
  <si>
    <t>Total Conversion Cost……………………………………………………………………………………………………..</t>
  </si>
  <si>
    <t>Per-Unit Product Cost  =</t>
  </si>
  <si>
    <t>Per-Unit Conversion Cost  =</t>
  </si>
  <si>
    <t>Per-Unit Prime Cost  =</t>
  </si>
  <si>
    <t xml:space="preserve">Per-Unit Cost of Goods Manufactured  = </t>
  </si>
  <si>
    <t>Allstar has no Cost of Goods Sold line item because the company is a service</t>
  </si>
  <si>
    <t xml:space="preserve">provider, rather than a manufacturer. Therefore, as a service provider, Allstar has no </t>
  </si>
  <si>
    <t xml:space="preserve">inventory costs (raw materials, work in process, or finished goods) to flow through </t>
  </si>
  <si>
    <t>to Cost of Goods Sold when it recognizes its sales revenue. Instead, all of the costs</t>
  </si>
  <si>
    <t>income statement.</t>
  </si>
  <si>
    <t xml:space="preserve">it incurs in providing advertising services appear as Operating Expenses on the </t>
  </si>
  <si>
    <t>are selling costs.</t>
  </si>
  <si>
    <t xml:space="preserve">her salary is selling cost. The remainder is administrative cost. All commissions </t>
  </si>
  <si>
    <t>playhouses. The playhouse itself is a product, and the installation is a service.</t>
  </si>
  <si>
    <t xml:space="preserve">The two products that Holmes sells are playhouses and the installation of </t>
  </si>
  <si>
    <t>installation is a minor part of its business, it probably does not go to the trouble.</t>
  </si>
  <si>
    <t xml:space="preserve">Holmes could assign the costs to production and to installation, but if the </t>
  </si>
  <si>
    <t>Unit Product Cost  =</t>
  </si>
  <si>
    <t>Product Cost per Unit</t>
  </si>
  <si>
    <t>Total Product Cost</t>
  </si>
  <si>
    <t>Number of Units</t>
  </si>
  <si>
    <t>Rental of Santa Suit…………………………………………………………………………………………</t>
  </si>
  <si>
    <t xml:space="preserve">Prime Cost per Unit  </t>
  </si>
  <si>
    <t>Total Prime Cost</t>
  </si>
  <si>
    <t>Conversion Cost per Unit</t>
  </si>
  <si>
    <t>Total Conversion Cost</t>
  </si>
  <si>
    <r>
      <t>Note</t>
    </r>
    <r>
      <rPr>
        <b/>
        <sz val="12"/>
        <rFont val="Arial"/>
        <family val="2"/>
      </rPr>
      <t>: Because there were no beginning nor ending work-in-process or finished</t>
    </r>
  </si>
  <si>
    <t>goods inventories, no adjustments were made for them in this statement.</t>
  </si>
  <si>
    <t>materials inventory holding costs (e.g., inspection, handling, insurance, etc.).</t>
  </si>
  <si>
    <t>Furthermore, Hannah might have reduced its ending materials inventory because</t>
  </si>
  <si>
    <t>it foresaw that demand in July would be lower than in June and did not want to be</t>
  </si>
  <si>
    <t>left holding additional inventory at the end of July. Alternately, Hannah might have</t>
  </si>
  <si>
    <t xml:space="preserve">reason, it is helpful for students to understand the relationship between the cost of </t>
  </si>
  <si>
    <t>period.</t>
  </si>
  <si>
    <t>materials purchased versus the cost of materials used in production in a given</t>
  </si>
  <si>
    <t>Number of Units Sold × Selling Price</t>
  </si>
  <si>
    <t>a (Direct Materials Used in Production) = Beginning Inventory Direct Materials +</t>
  </si>
  <si>
    <t>Purchases – Ending Inventory Direct Materials</t>
  </si>
  <si>
    <t xml:space="preserve">d (Direct Materials Purchases for Year 2) = Direct Materials Used in Production – </t>
  </si>
  <si>
    <t>Direct Materials Beginning Inventory + Direct Materials Ending Inventory</t>
  </si>
  <si>
    <t xml:space="preserve">e (Cost of Goods Sold for Year 2) = Beginning Finished Goods Inventory + Cost of </t>
  </si>
  <si>
    <t>Goods Manufactured – Ending Finished Goods Inventory</t>
  </si>
  <si>
    <t xml:space="preserve">So, COGM = Direct Materials Used in Production + Direct Labor Used in Production + </t>
  </si>
  <si>
    <t>MOH Costs Used in Production + Beginning WIP Inventory – Ending WIP Inventory</t>
  </si>
  <si>
    <t xml:space="preserve">managerial attention on those expenses that are relatively high. For Jasper, it </t>
  </si>
  <si>
    <t xml:space="preserve">appears as though administrative expense is twice as large as selling expense. </t>
  </si>
  <si>
    <t xml:space="preserve">Perhaps management could explain ways to reduce certain administrative </t>
  </si>
  <si>
    <t xml:space="preserve">expenses, such as research and development or fees incurred for general counsel </t>
  </si>
  <si>
    <t>(e.g., size of Jasper’s legal staff).</t>
  </si>
  <si>
    <t xml:space="preserve">b (Direct Labor Used in Production) = Cost of Goods Manufactured – Direct </t>
  </si>
  <si>
    <t xml:space="preserve">Materials Used in Production – Manufacturing Overhead Costs Used in </t>
  </si>
  <si>
    <t>Production – Beginning WIP Inventory + Ending WIP Inventory</t>
  </si>
  <si>
    <t>Cost of Goods Manufactured = Cost of Goods Sold – Beginning Finished Goods</t>
  </si>
  <si>
    <t>Inventory + Ending Finished Goods Inventory</t>
  </si>
  <si>
    <t xml:space="preserve">c (Direct Materials Beginning Inventory for Year 2) = Direct Materials Ending </t>
  </si>
  <si>
    <t>E 2-41 (Concluded)</t>
  </si>
  <si>
    <t>E 2-42 (Concluded)</t>
  </si>
  <si>
    <t>condiment packages and the wrappers and bags themselves. These materials go</t>
  </si>
  <si>
    <t>“out the door” in the final product. “Other ingredients” might include the oil to fry</t>
  </si>
  <si>
    <t>the potato strips and grease the frying surface for the hamburgers and the salt for</t>
  </si>
  <si>
    <t>of cost and convenience.</t>
  </si>
  <si>
    <t>the fries. They are direct materials but could also be classified as overhead because</t>
  </si>
  <si>
    <t xml:space="preserve">and fixtures are for production, and </t>
  </si>
  <si>
    <t>all building-related expense as well as depreciation on cooking equipment</t>
  </si>
  <si>
    <t>These make it easy to classify 100% of each expense as product cost or selling</t>
  </si>
  <si>
    <t xml:space="preserve">and administrative cost. The result is that she does not have to perform studies </t>
  </si>
  <si>
    <t xml:space="preserve">of the time spent by each employee on producing versus selling burger bags. In </t>
  </si>
  <si>
    <t>addition, it is likely that John Peterson pitches in to help fry burgers or assemble</t>
  </si>
  <si>
    <t>burger bags when things get hectic. Of course, during those times, he is engaged</t>
  </si>
  <si>
    <t xml:space="preserve">in production—not selling or administration. The cost of determining just exactly </t>
  </si>
  <si>
    <t xml:space="preserve">how many minutes of each employee’s day is spent in production versus selling </t>
  </si>
  <si>
    <t xml:space="preserve">is probably not worth it. (Remember, accountants charge by the number of hours </t>
  </si>
  <si>
    <t xml:space="preserve">spent—the more time Elena spends separating costs into categories, the higher </t>
  </si>
  <si>
    <t>her fees.)</t>
  </si>
  <si>
    <t>Pop’s Drive-Thru Burger Heaven is not a publicly traded company, and its income</t>
  </si>
  <si>
    <t>statements do not have to conform to GAAP. Outside use of the statements is</t>
  </si>
  <si>
    <t xml:space="preserve">No, we do not need to prepare a statement of cost of goods manufactured </t>
  </si>
  <si>
    <t xml:space="preserve">because there were no beginning or ending inventories of work in process. </t>
  </si>
  <si>
    <t>As a result, total manufacturing cost is equal to the cost of goods manufactured.</t>
  </si>
  <si>
    <t xml:space="preserve">that beginning inventory is sold before current year production. Therefore, the </t>
  </si>
  <si>
    <t>inventory. This can be seen in the following statement of cost of goods sold.</t>
  </si>
  <si>
    <t>cost of goods sold will be lower than it would be if there were no beginning</t>
  </si>
  <si>
    <t>overhead. The total of these three types of costs equals product cost.</t>
  </si>
  <si>
    <t>These costs include direct materials, direct labor, and manufacturing</t>
  </si>
  <si>
    <t>administrative cost.</t>
  </si>
  <si>
    <t>Jamie is working at company headquarters, and her salary is part of</t>
  </si>
  <si>
    <t>direct labor and manufacturing overhead. This is conversion cost.</t>
  </si>
  <si>
    <t xml:space="preserve">The cost of converting direct materials into finished product is the sum of </t>
  </si>
  <si>
    <t>selling and delivering product.</t>
  </si>
  <si>
    <t xml:space="preserve">The depreciation on the delivery trucks is part of selling cost, the cost of </t>
  </si>
  <si>
    <t>COGS = Beginning Finished Goods Inventory + COGM – Ending Finished Goods</t>
  </si>
  <si>
    <t>Inventory</t>
  </si>
  <si>
    <t xml:space="preserve">COGM = Direct Materials Used in Production + Direct Labor Costs Used in </t>
  </si>
  <si>
    <t xml:space="preserve">Production + Manufacturing Overhead Costs Used in Production + Beginning </t>
  </si>
  <si>
    <t>WIP Inventory – Ending WIP Inventory</t>
  </si>
  <si>
    <t>Direct Materials Purchases – Ending Direct Materials Inventory</t>
  </si>
  <si>
    <t xml:space="preserve">Direct Materials Used in Production = Beginning Direct Materials Inventory + </t>
  </si>
  <si>
    <t>cost because Berry’s core business is creating building plans, which is a labor-</t>
  </si>
  <si>
    <t>used to create building plans are relatively inexpensive.</t>
  </si>
  <si>
    <t xml:space="preserve">intensive process requiring expensive, well-trained architects. The materials </t>
  </si>
  <si>
    <t xml:space="preserve">Average Cost of One Unit of Product = </t>
  </si>
  <si>
    <r>
      <t>statement. This is because the Internet services are used up each month</t>
    </r>
    <r>
      <rPr>
        <b/>
        <sz val="12"/>
        <rFont val="Arial"/>
        <family val="2"/>
      </rPr>
      <t>—</t>
    </r>
    <r>
      <rPr>
        <b/>
        <sz val="12"/>
        <rFont val="Arial"/>
        <family val="2"/>
      </rPr>
      <t>Luisa</t>
    </r>
  </si>
  <si>
    <t>best alternative to dog walking.</t>
  </si>
  <si>
    <t xml:space="preserve">to accept the movie role. It is an opportunity cost because it is the cost of the next </t>
  </si>
  <si>
    <t>clients; it is not her cost.)</t>
  </si>
  <si>
    <t>Rent……………………………………………………………..…………………..</t>
  </si>
  <si>
    <t>P 2-52 (Continued)</t>
  </si>
  <si>
    <t>Rent and insurance cannot be traced to each product so the costs are assigned using direct</t>
  </si>
  <si>
    <t xml:space="preserve">time required. Since magazines use twice as much time, they receive twice the cost: Letting X = </t>
  </si>
  <si>
    <t>A case could be made for assigning part of her salary to production. However, since she is</t>
  </si>
  <si>
    <t>responsible for coordinating and managing all business functions, an administrative classification</t>
  </si>
  <si>
    <t>is more convincing.</t>
  </si>
  <si>
    <t>Machine operators, tires and fuel, and depreciation are all directly caused by</t>
  </si>
  <si>
    <t>equipment usage, which is measured by equipment hours. One can also argue that</t>
  </si>
  <si>
    <t>required is also a function of equipment hours and so the salaries of mechanics can</t>
  </si>
  <si>
    <t>equipment hours because their usage should be highly correlated with equipment</t>
  </si>
  <si>
    <t>increase, so does the pipe usage. A similar argument can be made for other direct</t>
  </si>
  <si>
    <t>direct labor because these two costs are directly traceable to jobs.</t>
  </si>
  <si>
    <t>labor. Actually, it is not necessary to use equipment hours to assign pipe or other</t>
  </si>
  <si>
    <t xml:space="preserve">Traceable Cost per Equipment Hour  =  </t>
  </si>
  <si>
    <t xml:space="preserve">Leroy should politely and firmly decline the offer. The offer includes an implicit </t>
  </si>
  <si>
    <t>request to use confidential information to help Jean win the bid. Use of such</t>
  </si>
  <si>
    <t>information for personal advantage is wrong. Leroy has a professional and</t>
  </si>
  <si>
    <t xml:space="preserve">personal obligation to his current employer. This obligation must take </t>
  </si>
  <si>
    <t>precedence over the opportunity for personal financial gain.</t>
  </si>
  <si>
    <t>Corporate codes of conduct emphasize honesty and integrity. Leroy has a</t>
  </si>
  <si>
    <t xml:space="preserve">responsibility to act on behalf of his company, and clearly, disclosing </t>
  </si>
  <si>
    <t xml:space="preserve">confidential information acquired in the course of his work to a competitor </t>
  </si>
  <si>
    <t xml:space="preserve">would be prohibited. In addition, codes of corporate conduct also require </t>
  </si>
  <si>
    <t xml:space="preserve">employees to avoid conflicts of interest and to refuse any gift, favor, or </t>
  </si>
  <si>
    <t>hospitality that would influence employee actions inappropriately.</t>
  </si>
  <si>
    <t xml:space="preserve">If Leroy agrees to review the bid, he will likely use his knowledge of his current </t>
  </si>
  <si>
    <t>employer’s position to help Jean win the bid. In fact, agreement to help probably</t>
  </si>
  <si>
    <t>would reflect a desire for the bonus and new job with the associated salary</t>
  </si>
  <si>
    <t xml:space="preserve">increase. Helping would likely ensure that Jean would win the bid. Leroy was </t>
  </si>
  <si>
    <t xml:space="preserve">concerned about the political fallout and subsequent investigation revealing </t>
  </si>
  <si>
    <t xml:space="preserve">his involvement—especially if he sent up a red flag by switching to his friend’s </t>
  </si>
  <si>
    <t xml:space="preserve">firm. An investigation may reveal the up-front bonus and increase the </t>
  </si>
  <si>
    <t xml:space="preserve">suspicion about Leroy’s involvement. There is a real possibility that Leroy </t>
  </si>
  <si>
    <t>could be implicated. Whether this would lead to any legal difficulties is another</t>
  </si>
  <si>
    <t xml:space="preserve">issue. At the very least, some tarnishing of his professional reputation and </t>
  </si>
  <si>
    <t xml:space="preserve">personal character is possible. Some risk to Leroy exists. The amount of risk, </t>
  </si>
  <si>
    <t xml:space="preserve">though, should not be a factor in Leroy’s decision. What is right should be the </t>
  </si>
  <si>
    <t>central issue, not the likelihood of getting caught.</t>
  </si>
  <si>
    <t>Manufacturing overhead……………………………………………………………………………………………………………………..</t>
  </si>
  <si>
    <t>Total product cost……………………………………………………………………………………………………………………..</t>
  </si>
  <si>
    <t>Direct materials………………………………………………………………………………………...</t>
  </si>
  <si>
    <t>Factory rent…………………………………………………………………………………</t>
  </si>
  <si>
    <t>Direct labor…………………………………………………………………………………</t>
  </si>
  <si>
    <t>Factory utilities…………………………………………………………………………………</t>
  </si>
  <si>
    <t>factory…………………………………………………………………………………</t>
  </si>
  <si>
    <t>Sales commissions…………………………………………………………………………………</t>
  </si>
  <si>
    <t>Sales salaries…………………………………………………………………………………</t>
  </si>
  <si>
    <t>Advertising…………………………………………………………………………………</t>
  </si>
  <si>
    <t>headquarters building…………………………………………………………………………………</t>
  </si>
  <si>
    <t>Other administrative costs…………………………………………………………………………………</t>
  </si>
  <si>
    <t>receptionist……………………………………………………………………………</t>
  </si>
  <si>
    <t>Totals……………………………………………………………………………….</t>
  </si>
  <si>
    <t>Jars……………………………………………………………………………………………………………………………………………..</t>
  </si>
  <si>
    <t>Sugar………………………………………………………………………………………………………………………………………..</t>
  </si>
  <si>
    <t>Fruit………………………………………………………………………………………………………………………………………..</t>
  </si>
  <si>
    <t>Pectin………………………………………………………………………………………………………………………………………..</t>
  </si>
  <si>
    <t>Boxes………………………………………………………………………………………………………………………………………..</t>
  </si>
  <si>
    <t>Depreciation on the factory building………………………………………………………………………………………………………………………………………..</t>
  </si>
  <si>
    <t>Cooking equipment operators’ wages………………………………………………………………………………………………………………………………………..</t>
  </si>
  <si>
    <t>Filling equipment operators’ wages………………………………………………………………………………………………………………………………………..</t>
  </si>
  <si>
    <t>Packers’ wages………………………………………………………………………………………………………………………………………..</t>
  </si>
  <si>
    <t>Janitors’ wages………………………………………………………………………………………………………………………………………..</t>
  </si>
  <si>
    <t>Receptionist’s wages………………………………………………………………………………………………………………………………………..</t>
  </si>
  <si>
    <t>Telephone………………………………………………………………………………………………………………………………………..</t>
  </si>
  <si>
    <t>Utilities………………………………………………………………………………………………………………………………………..</t>
  </si>
  <si>
    <t>Supervisory labor salaries………………………………………………………………………………………………………………………………………..</t>
  </si>
  <si>
    <t>Insurance on factory building………………………………………………………………………………………………………………………………………..</t>
  </si>
  <si>
    <t>Depreciation on factory equipment………………………………………………………………………………………………………………………………………..</t>
  </si>
  <si>
    <t>Oil to lubricate filling equipment………………………………………………………………………………………………………………………………………..</t>
  </si>
  <si>
    <t>Fixed selling expense………………………………………………………………..…………………………………..………..……….</t>
  </si>
  <si>
    <t>Administrative expense……………………………………………………………..…………………………………..………………..………..</t>
  </si>
  <si>
    <t>Operating income……………………………...……………………………………..…………………………………..……………….</t>
  </si>
  <si>
    <t>Sales revenues………………………………………………………………………..…………………………………..…………</t>
  </si>
  <si>
    <t>Sales commissions…………………………………………………………………..…………………………………..…..</t>
  </si>
  <si>
    <t>Technology………………………………………………………………………………..…………………………………..….</t>
  </si>
  <si>
    <t>Research and development……………………………………………………………..…………………………………..…</t>
  </si>
  <si>
    <t>Selling expenses………………………………………………………………………..…………………………………..……</t>
  </si>
  <si>
    <t>Administrative expenses ……………………………………………………………..…………………………………..……</t>
  </si>
  <si>
    <t>Operating income………………………………………………………………………..………………………………..………..</t>
  </si>
  <si>
    <t>Total…………………………………………………………………………………………………………………………………………………………………….</t>
  </si>
  <si>
    <t>his</t>
  </si>
  <si>
    <t>her</t>
  </si>
  <si>
    <t>Direct materials…………………………………………………………………………………………………………………………..</t>
  </si>
  <si>
    <t>Total prime cost……………………………………………………………………………………………………………………..</t>
  </si>
  <si>
    <t>Direct labor…………………………………………………………………………………………………………………..</t>
  </si>
  <si>
    <t>Manufacturing overhead…………………………………………………………………………………………………………………..</t>
  </si>
  <si>
    <t>Total conversion cost…………………………………………………………………………………………………………………..</t>
  </si>
  <si>
    <t xml:space="preserve">As shown in the exercise, the cost of direct materials purchased in June is $15,500. </t>
  </si>
  <si>
    <t xml:space="preserve">Also, as calculated in response to Requirement 1, the cost of direct materials used </t>
  </si>
  <si>
    <t xml:space="preserve">in production in June is $17,600. Therefore, in this case, the cost of direct materials </t>
  </si>
  <si>
    <t xml:space="preserve">used is greater than the cost of direct material purchased, which means that—for </t>
  </si>
  <si>
    <t xml:space="preserve">whatever reason—Hannah Banana Bakers decided to let its ending inventory (of </t>
  </si>
  <si>
    <t xml:space="preserve">$1,600) drop below its beginning inventory (of $3,700). The difference in beginning </t>
  </si>
  <si>
    <t xml:space="preserve">and ending inventories ($3,700 – $1,600 = $2,100) accounts for the difference </t>
  </si>
  <si>
    <t xml:space="preserve">between the cost of direct materials purchased and the cost of direct materials </t>
  </si>
  <si>
    <t xml:space="preserve">used in production (also $2,100; or $17,600 – $15,500). Hannah might have elected </t>
  </si>
  <si>
    <t xml:space="preserve">to let its ending materials inventory drop in order to save cash for purchases other </t>
  </si>
  <si>
    <t xml:space="preserve">than buying materials inventory. Also, it might have elected to do so to reduce its </t>
  </si>
  <si>
    <t>Units sold……………………………………………………………………………………………………………………..</t>
  </si>
  <si>
    <t>× Unit cost……………………………………………………………………………………………………………………..</t>
  </si>
  <si>
    <t>Cost of goods sold……………………………………………………………………………………………………………………..</t>
  </si>
  <si>
    <t>Materials purchases in March……………………………………………………………………………………………………………………..</t>
  </si>
  <si>
    <t>Direct materials used in March……………………………………………………………………………………………………………………..</t>
  </si>
  <si>
    <t>Direct materials……………………………………………………………………………………………………………………..</t>
  </si>
  <si>
    <t>Total manufacturing cost……………………………………………………………………………………………………………………..</t>
  </si>
  <si>
    <t>Cost of goods manufactured……………………………………………………………………………………………………………………..</t>
  </si>
  <si>
    <t>Cost of goods manufactured*……………………………………………………………………………………………………………………..</t>
  </si>
  <si>
    <t>Manufacturing overhead………………………………………………………………………………………………………………..</t>
  </si>
  <si>
    <t>Cost of goods sold………………………………………………………………………………………………………………..</t>
  </si>
  <si>
    <t>Sales revenue……………………………………………………………………………………………………………………………………….</t>
  </si>
  <si>
    <t>Cost of goods sold*………………………………………………………………………………………………………………………………….</t>
  </si>
  <si>
    <t>Gross profit………………………………………………………………………………………………………………………………….</t>
  </si>
  <si>
    <t>Selling expense………………………………………………………………………………………………………………………………….</t>
  </si>
  <si>
    <t>Administrative expense………………………………………………………………………………………………………………………………….</t>
  </si>
  <si>
    <t>Operating income………………………………………………………………………………………………………………………………….</t>
  </si>
  <si>
    <t>E</t>
  </si>
  <si>
    <t>Hamburger meat……………………………………………………………………………………………….</t>
  </si>
  <si>
    <t>Buns, lettuce, pickles, and onions……………………………………………………………………………………….</t>
  </si>
  <si>
    <t>Frozen potato strips……………………………………………………………………………………….</t>
  </si>
  <si>
    <t>Other ingredients……………………………………………………………………………………….</t>
  </si>
  <si>
    <t>Direct materials purchases are first entered into the materials inventory. They may or may not be</t>
  </si>
  <si>
    <t>↓             input             ↓</t>
  </si>
  <si>
    <t>input</t>
  </si>
  <si>
    <r>
      <rPr>
        <sz val="8"/>
        <color indexed="62"/>
        <rFont val="Calibri"/>
        <family val="2"/>
      </rPr>
      <t>↓</t>
    </r>
    <r>
      <rPr>
        <sz val="8"/>
        <color indexed="62"/>
        <rFont val="Arial"/>
        <family val="2"/>
      </rPr>
      <t xml:space="preserve"> calculates</t>
    </r>
  </si>
  <si>
    <t>↓ calculates</t>
  </si>
  <si>
    <t>↓       input       ↓</t>
  </si>
  <si>
    <t>Direct materials</t>
  </si>
  <si>
    <t>Direct labor</t>
  </si>
  <si>
    <t>Mfg. Overhead</t>
  </si>
  <si>
    <t>input ↓</t>
  </si>
  <si>
    <r>
      <rPr>
        <sz val="8"/>
        <color indexed="62"/>
        <rFont val="Wingdings"/>
        <charset val="2"/>
      </rPr>
      <t xml:space="preserve">ß </t>
    </r>
    <r>
      <rPr>
        <sz val="8"/>
        <color indexed="62"/>
        <rFont val="Arial"/>
        <family val="2"/>
      </rPr>
      <t>↓ calculates</t>
    </r>
  </si>
  <si>
    <r>
      <rPr>
        <sz val="8"/>
        <color indexed="62"/>
        <rFont val="Wingdings"/>
        <charset val="2"/>
      </rPr>
      <t>ß</t>
    </r>
    <r>
      <rPr>
        <sz val="8"/>
        <color indexed="62"/>
        <rFont val="Arial"/>
        <family val="2"/>
      </rPr>
      <t>calculates</t>
    </r>
  </si>
  <si>
    <r>
      <t xml:space="preserve">cell ref </t>
    </r>
    <r>
      <rPr>
        <sz val="6"/>
        <color indexed="62"/>
        <rFont val="Wingdings"/>
        <charset val="2"/>
      </rPr>
      <t>à</t>
    </r>
  </si>
  <si>
    <t>Mfg Overhead</t>
  </si>
  <si>
    <t>↓ from K8</t>
  </si>
  <si>
    <t>↓ from K18</t>
  </si>
  <si>
    <t>↓ from Q10</t>
  </si>
  <si>
    <t>↓ from K25</t>
  </si>
  <si>
    <t>Sales commissions</t>
  </si>
  <si>
    <t>Technology costs</t>
  </si>
  <si>
    <t>R&amp;D costs</t>
  </si>
  <si>
    <t>Selling expenses</t>
  </si>
  <si>
    <t>Admin. Expenses</t>
  </si>
  <si>
    <t>Sales</t>
  </si>
  <si>
    <t>Selling expense</t>
  </si>
  <si>
    <t>Remaining: Admin costs</t>
  </si>
  <si>
    <t>direct materials</t>
  </si>
  <si>
    <t>factory rent</t>
  </si>
  <si>
    <t>direct labor</t>
  </si>
  <si>
    <t>factory utilities</t>
  </si>
  <si>
    <t>supervision in the factory</t>
  </si>
  <si>
    <t>indirect labor in the factory</t>
  </si>
  <si>
    <t>sales commissions</t>
  </si>
  <si>
    <t>sales salaries</t>
  </si>
  <si>
    <t>advertising</t>
  </si>
  <si>
    <t>depreciation on the headquarters building</t>
  </si>
  <si>
    <t>other administrative costs</t>
  </si>
  <si>
    <t>salary of the factory receptionist</t>
  </si>
  <si>
    <t>depreciation on factory equipment</t>
  </si>
  <si>
    <t>salary of the corporate receptionist</t>
  </si>
  <si>
    <t>Purchased</t>
  </si>
  <si>
    <t>Ending inventory</t>
  </si>
  <si>
    <t>Beg. Inventory</t>
  </si>
  <si>
    <t>Manufactured</t>
  </si>
  <si>
    <t>product cost</t>
  </si>
  <si>
    <t>WIP</t>
  </si>
  <si>
    <t>Finished goods</t>
  </si>
  <si>
    <t>Purchases</t>
  </si>
  <si>
    <t>Sales, units</t>
  </si>
  <si>
    <t>Selling price</t>
  </si>
  <si>
    <t>materials</t>
  </si>
  <si>
    <t>labor</t>
  </si>
  <si>
    <t>Admin. expense</t>
  </si>
  <si>
    <t>mfg overhead</t>
  </si>
  <si>
    <t>hamburger meat</t>
  </si>
  <si>
    <t>frozen potato</t>
  </si>
  <si>
    <t>buns</t>
  </si>
  <si>
    <t>warppers</t>
  </si>
  <si>
    <t>other ingredients</t>
  </si>
  <si>
    <t>PT wages</t>
  </si>
  <si>
    <t>J Peterson salary</t>
  </si>
  <si>
    <t>utilities</t>
  </si>
  <si>
    <t>rent</t>
  </si>
  <si>
    <t>deprec (cooking equip)</t>
  </si>
  <si>
    <t>janitor's wages</t>
  </si>
  <si>
    <t>janitorial supplies</t>
  </si>
  <si>
    <t>accounting fees</t>
  </si>
  <si>
    <t>taxes</t>
  </si>
  <si>
    <t>Beg inv.</t>
  </si>
  <si>
    <t>Dir labor</t>
  </si>
  <si>
    <t>End inv.</t>
  </si>
  <si>
    <t>Beg. WIP</t>
  </si>
  <si>
    <t>End. WIP</t>
  </si>
  <si>
    <t>Mfg overhead</t>
  </si>
  <si>
    <t>Supplies</t>
  </si>
  <si>
    <t>Factory ins.</t>
  </si>
  <si>
    <t>Factory supervision</t>
  </si>
  <si>
    <t>Materials handling</t>
  </si>
  <si>
    <t>Beg. inv.</t>
  </si>
  <si>
    <t>Beg. finished goods</t>
  </si>
  <si>
    <t>End. inv.</t>
  </si>
  <si>
    <t>WIP - ending</t>
  </si>
  <si>
    <t>WIP  - beginning</t>
  </si>
  <si>
    <t>End. finished goods</t>
  </si>
  <si>
    <t>Indirect labor</t>
  </si>
  <si>
    <t>Factory rent</t>
  </si>
  <si>
    <t>Deprec. - factory</t>
  </si>
  <si>
    <t>Utilities - factory</t>
  </si>
  <si>
    <t>Sales Supv Salary</t>
  </si>
  <si>
    <t>Gen. administration</t>
  </si>
  <si>
    <t>Beg. finished gds</t>
  </si>
  <si>
    <t>End. finished gds</t>
  </si>
  <si>
    <t>Supv Salary</t>
  </si>
  <si>
    <t>Commssions</t>
  </si>
  <si>
    <t>Gen. adm. Exp</t>
  </si>
  <si>
    <t>internet service</t>
  </si>
  <si>
    <t>opportunity cost</t>
  </si>
  <si>
    <t>dog services</t>
  </si>
  <si>
    <t>↓ magazine</t>
  </si>
  <si>
    <t>↓ brochure</t>
  </si>
  <si>
    <t>deprec.</t>
  </si>
  <si>
    <t>setups</t>
  </si>
  <si>
    <t>ins.</t>
  </si>
  <si>
    <t>power</t>
  </si>
  <si>
    <t>↓ rent</t>
  </si>
  <si>
    <t>↓ insurance</t>
  </si>
  <si>
    <t>Revenue</t>
  </si>
  <si>
    <t>COGS</t>
  </si>
  <si>
    <t>Tent sale expense</t>
  </si>
  <si>
    <t>Equip hours</t>
  </si>
  <si>
    <r>
      <rPr>
        <sz val="8"/>
        <color theme="0"/>
        <rFont val="Calibri"/>
        <family val="2"/>
      </rPr>
      <t>↓</t>
    </r>
    <r>
      <rPr>
        <sz val="8"/>
        <color theme="0"/>
        <rFont val="Arial"/>
        <family val="2"/>
      </rPr>
      <t xml:space="preserve"> calculates</t>
    </r>
  </si>
  <si>
    <r>
      <rPr>
        <sz val="6"/>
        <color theme="0"/>
        <rFont val="Wingdings"/>
        <charset val="2"/>
      </rPr>
      <t>ß</t>
    </r>
    <r>
      <rPr>
        <sz val="8"/>
        <color theme="0"/>
        <rFont val="Arial"/>
        <family val="2"/>
      </rPr>
      <t xml:space="preserve"> calculates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</si>
</sst>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0\)"/>
    <numFmt numFmtId="165" formatCode="&quot;$&quot;#,##0"/>
    <numFmt numFmtId="166" formatCode="&quot;$&quot;#,##0.00"/>
    <numFmt numFmtId="167" formatCode="&quot;$&quot;#,##0.000"/>
    <numFmt numFmtId="168" formatCode="#,##0.000_);\(#,##0.000\)"/>
    <numFmt numFmtId="169" formatCode="#,##0.0_);\(#,##0.0\)"/>
    <numFmt numFmtId="170" formatCode="#,##0.0_);\(#,##0\)"/>
    <numFmt numFmtId="171" formatCode="_(&quot;$&quot;_###,##0_);_(&quot;$&quot;* \(#,##0\);_(&quot;$&quot;* &quot;-&quot;_);_(@_)"/>
    <numFmt numFmtId="172" formatCode="_(&quot;$&quot;_#_,###,##0_);_(&quot;$&quot;* \(#,##0\);_(&quot;$&quot;* &quot;-&quot;_);_(@_)"/>
    <numFmt numFmtId="173" formatCode="_(&quot;$&quot;_##,##0_);_(&quot;$&quot;* \(#,##0\);_(&quot;$&quot;* &quot;-&quot;_);_(@_)"/>
    <numFmt numFmtId="174" formatCode="_(&quot;$&quot;#,###,##0_);_(&quot;$&quot;* \(#,##0\);_(&quot;$&quot;* &quot;-&quot;_);_(@_)"/>
    <numFmt numFmtId="175" formatCode="_(&quot;$&quot;_##,###,##0_);_(&quot;$&quot;* \(#,##0\);_(&quot;$&quot;* &quot;-&quot;_);_(@_)"/>
    <numFmt numFmtId="176" formatCode="_(&quot;$&quot;_#_#_,###,##0_);_(&quot;$&quot;* \(#,##0\);_(&quot;$&quot;* &quot;-&quot;_);_(@_)"/>
    <numFmt numFmtId="177" formatCode="_(&quot;$&quot;_#_,##0_);_(&quot;$&quot;* \(#,##0\);_(&quot;$&quot;* &quot;-&quot;_);_(@_)"/>
    <numFmt numFmtId="178" formatCode="_(&quot;$&quot;_(_##,##0_);_(&quot;$&quot;* \(#,##0\);_(&quot;$&quot;* &quot;-&quot;_);_(@_)"/>
    <numFmt numFmtId="179" formatCode="_(&quot;$&quot;_(##,##0_);_(&quot;$&quot;* \(#,##0\);_(&quot;$&quot;* &quot;-&quot;_);_(@_)"/>
    <numFmt numFmtId="180" formatCode="_(&quot;$&quot;_#_,##0;_(&quot;$&quot;* \(#,##0\);_(&quot;$&quot;* &quot;-&quot;_);_(@_)"/>
    <numFmt numFmtId="181" formatCode="#,##0;[Red]\(#,##0\)"/>
    <numFmt numFmtId="182" formatCode="_(&quot;$&quot;_###,##0;_(&quot;$&quot;* \(#,##0\);_(&quot;$&quot;* &quot;-&quot;_);_(@_)"/>
    <numFmt numFmtId="183" formatCode="_(&quot;$&quot;#,##0_);_(&quot;$&quot;* \(#,##0\);_(&quot;$&quot;* &quot;-&quot;_);_(@_)"/>
    <numFmt numFmtId="184" formatCode="_(_#_,###,##0_);_(&quot;$&quot;* \(#,##0\);_(&quot;$&quot;* &quot;-&quot;_);_(@_)"/>
    <numFmt numFmtId="185" formatCode="\(#,##0\);\(#,##0\)"/>
    <numFmt numFmtId="186" formatCode="&quot;$&quot;#,##0_)"/>
    <numFmt numFmtId="187" formatCode="0.0%"/>
    <numFmt numFmtId="188" formatCode="&quot;$&quot;_#_,###,##0_);_(&quot;$&quot;* \(#,##0\);_(&quot;$&quot;* &quot;-&quot;_);_(@_)"/>
    <numFmt numFmtId="189" formatCode="&quot;$&quot;#,###,##0_);_(&quot;$&quot;* \(#,##0\);_(&quot;$&quot;* &quot;-&quot;_);_(@_)"/>
    <numFmt numFmtId="190" formatCode="_$_#_,###,##0_);_(&quot;$&quot;* \(#,##0\);_(&quot;$&quot;* &quot;-&quot;_);_(@_)"/>
    <numFmt numFmtId="191" formatCode="_(&quot;$&quot;_(_##,##0_);&quot;$&quot;_#\(#,##0\);_(&quot;$&quot;* &quot;-&quot;_);_(@_)"/>
    <numFmt numFmtId="192" formatCode="_(* #,##0_);_(* \(#,##0\);_(&quot;—&quot;_,_);_(@_)"/>
    <numFmt numFmtId="193" formatCode="_(&quot;$&quot;##,##0_);_(&quot;$&quot;* \(#,##0\);_(&quot;$&quot;* &quot;-&quot;_);_(@_)"/>
    <numFmt numFmtId="194" formatCode="&quot;$&quot;#,##0;[Red]\(&quot;$&quot;#,##0\)"/>
    <numFmt numFmtId="195" formatCode="_(* #,##0_);_(* \(#,##0\);_(* &quot;-&quot;??_);_(@_)"/>
    <numFmt numFmtId="196" formatCode="_(&quot;$&quot;* #,##0_);_(&quot;$&quot;* \(#,##0\);_(&quot;$&quot;* &quot;-&quot;??_);_(@_)"/>
  </numFmts>
  <fonts count="4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56"/>
      <name val="Arial"/>
      <family val="2"/>
    </font>
    <font>
      <sz val="8"/>
      <color indexed="56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Calibri"/>
      <family val="2"/>
    </font>
    <font>
      <b/>
      <sz val="48"/>
      <name val="Arial"/>
      <family val="2"/>
    </font>
    <font>
      <sz val="26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sz val="8"/>
      <color indexed="62"/>
      <name val="Calibri"/>
      <family val="2"/>
    </font>
    <font>
      <sz val="8"/>
      <color indexed="62"/>
      <name val="Wingdings"/>
      <charset val="2"/>
    </font>
    <font>
      <sz val="6"/>
      <color indexed="62"/>
      <name val="Wingdings"/>
      <charset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theme="3"/>
      <name val="Arial"/>
      <family val="2"/>
    </font>
    <font>
      <sz val="8"/>
      <color theme="4" tint="-0.249977111117893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0"/>
      <color theme="0"/>
      <name val="Arial"/>
      <family val="2"/>
    </font>
    <font>
      <sz val="6"/>
      <color theme="0"/>
      <name val="Wingdings"/>
      <charset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0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6" fontId="3" fillId="2" borderId="0" xfId="0" applyNumberFormat="1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6" fillId="3" borderId="0" xfId="0" applyFont="1" applyFill="1" applyBorder="1" applyAlignment="1">
      <alignment horizontal="center"/>
    </xf>
    <xf numFmtId="6" fontId="3" fillId="2" borderId="0" xfId="0" applyNumberFormat="1" applyFont="1" applyFill="1" applyBorder="1"/>
    <xf numFmtId="0" fontId="3" fillId="2" borderId="0" xfId="0" quotePrefix="1" applyFont="1" applyFill="1"/>
    <xf numFmtId="6" fontId="3" fillId="2" borderId="0" xfId="0" applyNumberFormat="1" applyFont="1" applyFill="1" applyAlignment="1">
      <alignment horizontal="left"/>
    </xf>
    <xf numFmtId="5" fontId="3" fillId="2" borderId="0" xfId="0" applyNumberFormat="1" applyFont="1" applyFill="1" applyAlignment="1">
      <alignment horizontal="left"/>
    </xf>
    <xf numFmtId="38" fontId="3" fillId="2" borderId="0" xfId="0" applyNumberFormat="1" applyFont="1" applyFill="1"/>
    <xf numFmtId="6" fontId="3" fillId="2" borderId="2" xfId="0" applyNumberFormat="1" applyFont="1" applyFill="1" applyBorder="1"/>
    <xf numFmtId="38" fontId="3" fillId="2" borderId="3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8" fontId="3" fillId="2" borderId="2" xfId="0" applyNumberFormat="1" applyFont="1" applyFill="1" applyBorder="1"/>
    <xf numFmtId="0" fontId="3" fillId="2" borderId="1" xfId="0" applyFont="1" applyFill="1" applyBorder="1" applyAlignment="1">
      <alignment horizontal="center"/>
    </xf>
    <xf numFmtId="38" fontId="3" fillId="2" borderId="0" xfId="0" applyNumberFormat="1" applyFont="1" applyFill="1" applyBorder="1"/>
    <xf numFmtId="164" fontId="3" fillId="2" borderId="0" xfId="0" applyNumberFormat="1" applyFont="1" applyFill="1"/>
    <xf numFmtId="8" fontId="3" fillId="2" borderId="0" xfId="0" applyNumberFormat="1" applyFont="1" applyFill="1"/>
    <xf numFmtId="164" fontId="3" fillId="2" borderId="3" xfId="0" applyNumberFormat="1" applyFont="1" applyFill="1" applyBorder="1"/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quotePrefix="1" applyFont="1" applyFill="1"/>
    <xf numFmtId="164" fontId="3" fillId="2" borderId="2" xfId="0" applyNumberFormat="1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0" fontId="3" fillId="2" borderId="0" xfId="0" applyNumberFormat="1" applyFont="1" applyFill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6" fontId="3" fillId="2" borderId="0" xfId="0" applyNumberFormat="1" applyFont="1" applyFill="1" applyAlignment="1">
      <alignment horizontal="right"/>
    </xf>
    <xf numFmtId="8" fontId="3" fillId="2" borderId="0" xfId="0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/>
    <xf numFmtId="3" fontId="6" fillId="2" borderId="0" xfId="0" applyNumberFormat="1" applyFont="1" applyFill="1"/>
    <xf numFmtId="0" fontId="6" fillId="2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165" fontId="3" fillId="2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left"/>
    </xf>
    <xf numFmtId="0" fontId="3" fillId="2" borderId="0" xfId="0" applyFont="1" applyFill="1" applyBorder="1" applyAlignment="1"/>
    <xf numFmtId="37" fontId="3" fillId="2" borderId="0" xfId="0" applyNumberFormat="1" applyFont="1" applyFill="1"/>
    <xf numFmtId="3" fontId="3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left"/>
    </xf>
    <xf numFmtId="6" fontId="4" fillId="2" borderId="0" xfId="0" applyNumberFormat="1" applyFont="1" applyFill="1"/>
    <xf numFmtId="38" fontId="4" fillId="2" borderId="0" xfId="0" applyNumberFormat="1" applyFont="1" applyFill="1"/>
    <xf numFmtId="6" fontId="4" fillId="2" borderId="2" xfId="0" applyNumberFormat="1" applyFont="1" applyFill="1" applyBorder="1"/>
    <xf numFmtId="0" fontId="3" fillId="0" borderId="0" xfId="0" applyFont="1" applyFill="1"/>
    <xf numFmtId="167" fontId="3" fillId="2" borderId="0" xfId="0" applyNumberFormat="1" applyFont="1" applyFill="1" applyAlignment="1">
      <alignment horizontal="left"/>
    </xf>
    <xf numFmtId="41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 applyAlignment="1">
      <alignment horizontal="left"/>
    </xf>
    <xf numFmtId="38" fontId="3" fillId="0" borderId="3" xfId="0" applyNumberFormat="1" applyFont="1" applyFill="1" applyBorder="1"/>
    <xf numFmtId="38" fontId="3" fillId="0" borderId="0" xfId="0" applyNumberFormat="1" applyFont="1" applyFill="1"/>
    <xf numFmtId="0" fontId="10" fillId="2" borderId="0" xfId="0" applyFont="1" applyFill="1"/>
    <xf numFmtId="0" fontId="3" fillId="0" borderId="0" xfId="0" applyFont="1"/>
    <xf numFmtId="0" fontId="3" fillId="2" borderId="0" xfId="0" quotePrefix="1" applyFont="1" applyFill="1" applyBorder="1"/>
    <xf numFmtId="41" fontId="3" fillId="2" borderId="0" xfId="0" applyNumberFormat="1" applyFont="1" applyFill="1"/>
    <xf numFmtId="41" fontId="3" fillId="2" borderId="2" xfId="0" applyNumberFormat="1" applyFont="1" applyFill="1" applyBorder="1"/>
    <xf numFmtId="0" fontId="3" fillId="2" borderId="0" xfId="0" applyFont="1" applyFill="1" applyAlignment="1"/>
    <xf numFmtId="0" fontId="3" fillId="2" borderId="3" xfId="0" applyFont="1" applyFill="1" applyBorder="1"/>
    <xf numFmtId="0" fontId="3" fillId="0" borderId="0" xfId="0" applyFont="1" applyBorder="1"/>
    <xf numFmtId="0" fontId="3" fillId="0" borderId="0" xfId="0" quotePrefix="1" applyFont="1"/>
    <xf numFmtId="171" fontId="3" fillId="2" borderId="0" xfId="0" applyNumberFormat="1" applyFont="1" applyFill="1"/>
    <xf numFmtId="172" fontId="3" fillId="2" borderId="0" xfId="0" applyNumberFormat="1" applyFont="1" applyFill="1"/>
    <xf numFmtId="172" fontId="3" fillId="2" borderId="2" xfId="0" applyNumberFormat="1" applyFont="1" applyFill="1" applyBorder="1"/>
    <xf numFmtId="171" fontId="3" fillId="2" borderId="2" xfId="0" applyNumberFormat="1" applyFont="1" applyFill="1" applyBorder="1"/>
    <xf numFmtId="173" fontId="3" fillId="2" borderId="0" xfId="0" applyNumberFormat="1" applyFont="1" applyFill="1"/>
    <xf numFmtId="172" fontId="3" fillId="0" borderId="2" xfId="0" applyNumberFormat="1" applyFont="1" applyFill="1" applyBorder="1"/>
    <xf numFmtId="173" fontId="3" fillId="2" borderId="2" xfId="0" applyNumberFormat="1" applyFont="1" applyFill="1" applyBorder="1"/>
    <xf numFmtId="175" fontId="3" fillId="2" borderId="0" xfId="0" applyNumberFormat="1" applyFont="1" applyFill="1"/>
    <xf numFmtId="175" fontId="3" fillId="2" borderId="2" xfId="0" applyNumberFormat="1" applyFont="1" applyFill="1" applyBorder="1"/>
    <xf numFmtId="176" fontId="3" fillId="2" borderId="0" xfId="0" applyNumberFormat="1" applyFont="1" applyFill="1"/>
    <xf numFmtId="177" fontId="3" fillId="2" borderId="0" xfId="0" applyNumberFormat="1" applyFont="1" applyFill="1"/>
    <xf numFmtId="178" fontId="3" fillId="2" borderId="0" xfId="0" applyNumberFormat="1" applyFont="1" applyFill="1"/>
    <xf numFmtId="179" fontId="3" fillId="2" borderId="0" xfId="0" applyNumberFormat="1" applyFont="1" applyFill="1"/>
    <xf numFmtId="179" fontId="3" fillId="2" borderId="2" xfId="0" applyNumberFormat="1" applyFont="1" applyFill="1" applyBorder="1"/>
    <xf numFmtId="180" fontId="3" fillId="2" borderId="0" xfId="0" applyNumberFormat="1" applyFont="1" applyFill="1"/>
    <xf numFmtId="181" fontId="3" fillId="2" borderId="3" xfId="0" applyNumberFormat="1" applyFont="1" applyFill="1" applyBorder="1"/>
    <xf numFmtId="6" fontId="3" fillId="2" borderId="3" xfId="0" applyNumberFormat="1" applyFont="1" applyFill="1" applyBorder="1" applyAlignment="1">
      <alignment horizontal="center"/>
    </xf>
    <xf numFmtId="6" fontId="3" fillId="2" borderId="3" xfId="0" applyNumberFormat="1" applyFont="1" applyFill="1" applyBorder="1"/>
    <xf numFmtId="174" fontId="3" fillId="2" borderId="0" xfId="0" applyNumberFormat="1" applyFont="1" applyFill="1"/>
    <xf numFmtId="0" fontId="3" fillId="2" borderId="2" xfId="0" applyFont="1" applyFill="1" applyBorder="1"/>
    <xf numFmtId="185" fontId="3" fillId="2" borderId="0" xfId="0" applyNumberFormat="1" applyFont="1" applyFill="1" applyBorder="1"/>
    <xf numFmtId="186" fontId="3" fillId="2" borderId="0" xfId="0" applyNumberFormat="1" applyFont="1" applyFill="1"/>
    <xf numFmtId="186" fontId="3" fillId="2" borderId="2" xfId="0" applyNumberFormat="1" applyFont="1" applyFill="1" applyBorder="1"/>
    <xf numFmtId="0" fontId="3" fillId="0" borderId="0" xfId="0" quotePrefix="1" applyFont="1" applyFill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6" fontId="3" fillId="0" borderId="0" xfId="0" applyNumberFormat="1" applyFont="1" applyFill="1"/>
    <xf numFmtId="0" fontId="3" fillId="0" borderId="1" xfId="0" applyFont="1" applyFill="1" applyBorder="1"/>
    <xf numFmtId="0" fontId="0" fillId="0" borderId="0" xfId="0" applyAlignment="1">
      <alignment horizontal="right" indent="1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 applyAlignment="1">
      <alignment horizontal="center"/>
    </xf>
    <xf numFmtId="37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2"/>
    </xf>
    <xf numFmtId="0" fontId="3" fillId="2" borderId="0" xfId="0" applyFont="1" applyFill="1" applyBorder="1" applyAlignment="1">
      <alignment horizontal="left" indent="2"/>
    </xf>
    <xf numFmtId="0" fontId="3" fillId="2" borderId="0" xfId="0" applyFont="1" applyFill="1" applyAlignment="1">
      <alignment horizontal="left" indent="4"/>
    </xf>
    <xf numFmtId="0" fontId="3" fillId="2" borderId="0" xfId="0" applyFont="1" applyFill="1" applyAlignment="1">
      <alignment horizontal="left" indent="6"/>
    </xf>
    <xf numFmtId="0" fontId="5" fillId="2" borderId="0" xfId="0" applyFont="1" applyFill="1" applyBorder="1"/>
    <xf numFmtId="3" fontId="6" fillId="2" borderId="0" xfId="0" applyNumberFormat="1" applyFont="1" applyFill="1" applyBorder="1"/>
    <xf numFmtId="165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82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2"/>
    </xf>
    <xf numFmtId="165" fontId="6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64" fontId="3" fillId="2" borderId="0" xfId="0" applyNumberFormat="1" applyFont="1" applyFill="1" applyBorder="1"/>
    <xf numFmtId="0" fontId="0" fillId="0" borderId="0" xfId="0" applyBorder="1" applyAlignment="1">
      <alignment horizontal="right" indent="1"/>
    </xf>
    <xf numFmtId="0" fontId="6" fillId="2" borderId="0" xfId="0" applyFont="1" applyFill="1" applyAlignment="1">
      <alignment horizontal="right" indent="1"/>
    </xf>
    <xf numFmtId="0" fontId="3" fillId="2" borderId="1" xfId="0" applyFont="1" applyFill="1" applyBorder="1" applyAlignment="1">
      <alignment horizontal="right" indent="1"/>
    </xf>
    <xf numFmtId="0" fontId="0" fillId="0" borderId="0" xfId="0" applyBorder="1" applyAlignment="1">
      <alignment horizontal="center"/>
    </xf>
    <xf numFmtId="170" fontId="3" fillId="2" borderId="0" xfId="0" applyNumberFormat="1" applyFont="1" applyFill="1"/>
    <xf numFmtId="170" fontId="3" fillId="2" borderId="3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indent="1"/>
    </xf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49" fontId="14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65" fontId="6" fillId="2" borderId="2" xfId="0" applyNumberFormat="1" applyFont="1" applyFill="1" applyBorder="1"/>
    <xf numFmtId="0" fontId="4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3" fillId="0" borderId="0" xfId="0" applyFont="1" applyFill="1" applyAlignment="1">
      <alignment horizontal="left" indent="2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0" fontId="0" fillId="0" borderId="0" xfId="0" applyFill="1"/>
    <xf numFmtId="0" fontId="17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 indent="1"/>
    </xf>
    <xf numFmtId="0" fontId="0" fillId="0" borderId="0" xfId="0" applyAlignment="1"/>
    <xf numFmtId="38" fontId="3" fillId="0" borderId="0" xfId="0" applyNumberFormat="1" applyFont="1" applyFill="1" applyBorder="1"/>
    <xf numFmtId="0" fontId="16" fillId="2" borderId="0" xfId="0" applyFont="1" applyFill="1"/>
    <xf numFmtId="174" fontId="3" fillId="2" borderId="0" xfId="0" applyNumberFormat="1" applyFont="1" applyFill="1" applyBorder="1"/>
    <xf numFmtId="172" fontId="3" fillId="2" borderId="0" xfId="0" applyNumberFormat="1" applyFont="1" applyFill="1" applyBorder="1"/>
    <xf numFmtId="173" fontId="3" fillId="2" borderId="0" xfId="0" applyNumberFormat="1" applyFont="1" applyFill="1" applyBorder="1"/>
    <xf numFmtId="37" fontId="3" fillId="2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3" fillId="0" borderId="3" xfId="0" applyFont="1" applyBorder="1"/>
    <xf numFmtId="166" fontId="3" fillId="0" borderId="0" xfId="0" applyNumberFormat="1" applyFont="1" applyFill="1" applyAlignment="1">
      <alignment horizontal="left"/>
    </xf>
    <xf numFmtId="0" fontId="3" fillId="0" borderId="0" xfId="0" quotePrefix="1" applyFont="1" applyAlignment="1">
      <alignment horizontal="left" indent="2"/>
    </xf>
    <xf numFmtId="0" fontId="3" fillId="0" borderId="0" xfId="0" applyFont="1" applyFill="1" applyBorder="1"/>
    <xf numFmtId="6" fontId="3" fillId="0" borderId="0" xfId="0" applyNumberFormat="1" applyFont="1" applyFill="1" applyBorder="1"/>
    <xf numFmtId="190" fontId="3" fillId="0" borderId="3" xfId="0" applyNumberFormat="1" applyFont="1" applyFill="1" applyBorder="1"/>
    <xf numFmtId="172" fontId="3" fillId="0" borderId="0" xfId="0" applyNumberFormat="1" applyFont="1" applyFill="1" applyBorder="1"/>
    <xf numFmtId="37" fontId="3" fillId="0" borderId="0" xfId="0" applyNumberFormat="1" applyFont="1" applyFill="1" applyBorder="1"/>
    <xf numFmtId="190" fontId="3" fillId="0" borderId="0" xfId="0" applyNumberFormat="1" applyFont="1" applyFill="1" applyBorder="1"/>
    <xf numFmtId="165" fontId="3" fillId="0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191" fontId="3" fillId="2" borderId="2" xfId="0" applyNumberFormat="1" applyFont="1" applyFill="1" applyBorder="1"/>
    <xf numFmtId="0" fontId="8" fillId="0" borderId="0" xfId="0" applyFont="1" applyFill="1"/>
    <xf numFmtId="188" fontId="3" fillId="2" borderId="0" xfId="0" applyNumberFormat="1" applyFont="1" applyFill="1"/>
    <xf numFmtId="8" fontId="3" fillId="2" borderId="0" xfId="0" applyNumberFormat="1" applyFont="1" applyFill="1" applyAlignment="1"/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4"/>
    </xf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left" indent="4"/>
    </xf>
    <xf numFmtId="173" fontId="3" fillId="2" borderId="5" xfId="0" applyNumberFormat="1" applyFont="1" applyFill="1" applyBorder="1"/>
    <xf numFmtId="6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6" fontId="3" fillId="2" borderId="0" xfId="0" applyNumberFormat="1" applyFont="1" applyFill="1" applyAlignment="1">
      <alignment horizontal="center"/>
    </xf>
    <xf numFmtId="192" fontId="3" fillId="2" borderId="0" xfId="0" quotePrefix="1" applyNumberFormat="1" applyFont="1" applyFill="1" applyBorder="1" applyAlignment="1">
      <alignment horizontal="center"/>
    </xf>
    <xf numFmtId="6" fontId="3" fillId="2" borderId="2" xfId="0" applyNumberFormat="1" applyFont="1" applyFill="1" applyBorder="1" applyAlignment="1">
      <alignment horizontal="center"/>
    </xf>
    <xf numFmtId="38" fontId="3" fillId="2" borderId="0" xfId="0" applyNumberFormat="1" applyFont="1" applyFill="1" applyAlignment="1">
      <alignment horizontal="center"/>
    </xf>
    <xf numFmtId="192" fontId="3" fillId="2" borderId="0" xfId="0" quotePrefix="1" applyNumberFormat="1" applyFont="1" applyFill="1" applyBorder="1" applyAlignment="1">
      <alignment horizontal="right"/>
    </xf>
    <xf numFmtId="0" fontId="3" fillId="0" borderId="0" xfId="0" applyFont="1" applyAlignment="1">
      <alignment horizontal="left" indent="1"/>
    </xf>
    <xf numFmtId="5" fontId="3" fillId="2" borderId="2" xfId="0" applyNumberFormat="1" applyFont="1" applyFill="1" applyBorder="1"/>
    <xf numFmtId="6" fontId="3" fillId="2" borderId="2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20" fillId="2" borderId="0" xfId="0" applyFont="1" applyFill="1"/>
    <xf numFmtId="0" fontId="21" fillId="2" borderId="0" xfId="0" quotePrefix="1" applyFont="1" applyFill="1"/>
    <xf numFmtId="0" fontId="20" fillId="2" borderId="0" xfId="0" quotePrefix="1" applyFont="1" applyFill="1"/>
    <xf numFmtId="0" fontId="20" fillId="2" borderId="0" xfId="0" applyNumberFormat="1" applyFont="1" applyFill="1"/>
    <xf numFmtId="0" fontId="20" fillId="0" borderId="0" xfId="0" applyNumberFormat="1" applyFont="1" applyFill="1"/>
    <xf numFmtId="0" fontId="20" fillId="0" borderId="0" xfId="0" applyFont="1" applyFill="1"/>
    <xf numFmtId="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93" fontId="3" fillId="2" borderId="0" xfId="0" applyNumberFormat="1" applyFont="1" applyFill="1"/>
    <xf numFmtId="5" fontId="3" fillId="0" borderId="2" xfId="0" applyNumberFormat="1" applyFont="1" applyFill="1" applyBorder="1"/>
    <xf numFmtId="6" fontId="4" fillId="2" borderId="0" xfId="0" applyNumberFormat="1" applyFont="1" applyFill="1" applyBorder="1"/>
    <xf numFmtId="176" fontId="3" fillId="0" borderId="0" xfId="0" applyNumberFormat="1" applyFont="1" applyFill="1"/>
    <xf numFmtId="189" fontId="3" fillId="0" borderId="0" xfId="0" applyNumberFormat="1" applyFont="1" applyFill="1" applyBorder="1"/>
    <xf numFmtId="171" fontId="3" fillId="0" borderId="0" xfId="0" applyNumberFormat="1" applyFont="1" applyFill="1" applyBorder="1"/>
    <xf numFmtId="194" fontId="3" fillId="2" borderId="3" xfId="0" applyNumberFormat="1" applyFont="1" applyFill="1" applyBorder="1" applyAlignment="1">
      <alignment horizontal="center"/>
    </xf>
    <xf numFmtId="182" fontId="6" fillId="2" borderId="0" xfId="0" applyNumberFormat="1" applyFont="1" applyFill="1" applyAlignment="1">
      <alignment horizontal="right" indent="2"/>
    </xf>
    <xf numFmtId="0" fontId="6" fillId="2" borderId="0" xfId="0" applyFont="1" applyFill="1" applyAlignment="1">
      <alignment horizontal="right" indent="2"/>
    </xf>
    <xf numFmtId="3" fontId="6" fillId="2" borderId="0" xfId="0" applyNumberFormat="1" applyFont="1" applyFill="1" applyAlignment="1">
      <alignment horizontal="right" indent="2"/>
    </xf>
    <xf numFmtId="3" fontId="6" fillId="2" borderId="0" xfId="0" applyNumberFormat="1" applyFont="1" applyFill="1" applyBorder="1" applyAlignment="1">
      <alignment horizontal="right" indent="2"/>
    </xf>
    <xf numFmtId="165" fontId="6" fillId="2" borderId="2" xfId="0" applyNumberFormat="1" applyFont="1" applyFill="1" applyBorder="1" applyAlignment="1">
      <alignment horizontal="right" indent="2"/>
    </xf>
    <xf numFmtId="0" fontId="3" fillId="2" borderId="7" xfId="0" applyFont="1" applyFill="1" applyBorder="1"/>
    <xf numFmtId="0" fontId="10" fillId="2" borderId="0" xfId="0" applyFont="1" applyFill="1" applyBorder="1"/>
    <xf numFmtId="41" fontId="3" fillId="2" borderId="0" xfId="0" applyNumberFormat="1" applyFont="1" applyFill="1" applyAlignment="1"/>
    <xf numFmtId="5" fontId="3" fillId="0" borderId="3" xfId="0" applyNumberFormat="1" applyFont="1" applyFill="1" applyBorder="1" applyAlignment="1"/>
    <xf numFmtId="5" fontId="3" fillId="0" borderId="0" xfId="0" applyNumberFormat="1" applyFont="1" applyFill="1" applyBorder="1" applyAlignment="1"/>
    <xf numFmtId="183" fontId="3" fillId="2" borderId="0" xfId="0" applyNumberFormat="1" applyFont="1" applyFill="1" applyBorder="1" applyAlignment="1"/>
    <xf numFmtId="6" fontId="3" fillId="0" borderId="5" xfId="0" applyNumberFormat="1" applyFont="1" applyFill="1" applyBorder="1"/>
    <xf numFmtId="164" fontId="3" fillId="0" borderId="5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3" xfId="0" applyFont="1" applyFill="1" applyBorder="1"/>
    <xf numFmtId="49" fontId="14" fillId="0" borderId="0" xfId="0" applyNumberFormat="1" applyFont="1" applyFill="1" applyAlignment="1">
      <alignment horizontal="left" vertical="center"/>
    </xf>
    <xf numFmtId="0" fontId="23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37" fontId="13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31" fillId="2" borderId="0" xfId="0" applyFont="1" applyFill="1"/>
    <xf numFmtId="0" fontId="31" fillId="2" borderId="0" xfId="0" applyFont="1" applyFill="1" applyBorder="1"/>
    <xf numFmtId="0" fontId="23" fillId="2" borderId="0" xfId="0" applyFont="1" applyFill="1" applyBorder="1"/>
    <xf numFmtId="195" fontId="3" fillId="2" borderId="0" xfId="0" applyNumberFormat="1" applyFont="1" applyFill="1"/>
    <xf numFmtId="170" fontId="3" fillId="0" borderId="0" xfId="0" applyNumberFormat="1" applyFont="1" applyFill="1" applyBorder="1"/>
    <xf numFmtId="0" fontId="23" fillId="2" borderId="0" xfId="0" applyFont="1" applyFill="1" applyAlignment="1"/>
    <xf numFmtId="196" fontId="3" fillId="2" borderId="0" xfId="2" applyNumberFormat="1" applyFont="1" applyFill="1"/>
    <xf numFmtId="0" fontId="28" fillId="2" borderId="0" xfId="0" applyFont="1" applyFill="1"/>
    <xf numFmtId="0" fontId="29" fillId="2" borderId="0" xfId="0" applyFont="1" applyFill="1"/>
    <xf numFmtId="195" fontId="3" fillId="2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 indent="1"/>
    </xf>
    <xf numFmtId="0" fontId="19" fillId="2" borderId="0" xfId="0" applyFont="1" applyFill="1" applyBorder="1" applyAlignment="1">
      <alignment horizontal="left" vertical="center" wrapText="1" inden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6" fontId="3" fillId="0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6" fontId="3" fillId="2" borderId="3" xfId="0" applyNumberFormat="1" applyFont="1" applyFill="1" applyBorder="1" applyAlignment="1">
      <alignment horizontal="center"/>
    </xf>
    <xf numFmtId="8" fontId="3" fillId="2" borderId="0" xfId="0" applyNumberFormat="1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left"/>
    </xf>
    <xf numFmtId="0" fontId="0" fillId="0" borderId="3" xfId="0" applyBorder="1" applyAlignment="1">
      <alignment horizontal="center"/>
    </xf>
    <xf numFmtId="183" fontId="3" fillId="2" borderId="7" xfId="0" applyNumberFormat="1" applyFont="1" applyFill="1" applyBorder="1" applyAlignment="1">
      <alignment horizontal="right"/>
    </xf>
    <xf numFmtId="174" fontId="3" fillId="0" borderId="0" xfId="0" applyNumberFormat="1" applyFont="1" applyFill="1"/>
    <xf numFmtId="38" fontId="3" fillId="0" borderId="0" xfId="0" applyNumberFormat="1" applyFont="1" applyFill="1" applyBorder="1"/>
    <xf numFmtId="174" fontId="3" fillId="0" borderId="5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4" fontId="3" fillId="0" borderId="2" xfId="0" applyNumberFormat="1" applyFont="1" applyFill="1" applyBorder="1"/>
    <xf numFmtId="184" fontId="3" fillId="0" borderId="0" xfId="0" applyNumberFormat="1" applyFont="1" applyFill="1"/>
    <xf numFmtId="38" fontId="3" fillId="0" borderId="0" xfId="0" applyNumberFormat="1" applyFont="1" applyFill="1"/>
    <xf numFmtId="0" fontId="3" fillId="0" borderId="0" xfId="0" applyFont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0" fillId="0" borderId="0" xfId="0" applyAlignment="1"/>
    <xf numFmtId="0" fontId="3" fillId="2" borderId="0" xfId="0" applyFont="1" applyFill="1" applyAlignment="1"/>
    <xf numFmtId="0" fontId="3" fillId="2" borderId="0" xfId="0" quotePrefix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37" fontId="12" fillId="0" borderId="0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31" fillId="0" borderId="0" xfId="0" applyFont="1" applyFill="1" applyBorder="1" applyAlignment="1">
      <alignment horizontal="right"/>
    </xf>
    <xf numFmtId="39" fontId="12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" fillId="0" borderId="0" xfId="0" quotePrefix="1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/>
    <xf numFmtId="37" fontId="35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39" fontId="35" fillId="0" borderId="0" xfId="0" applyNumberFormat="1" applyFont="1" applyFill="1" applyBorder="1" applyAlignment="1">
      <alignment horizontal="center"/>
    </xf>
    <xf numFmtId="195" fontId="33" fillId="0" borderId="0" xfId="1" applyNumberFormat="1" applyFont="1" applyFill="1" applyBorder="1" applyAlignment="1">
      <alignment horizontal="center"/>
    </xf>
    <xf numFmtId="195" fontId="33" fillId="0" borderId="0" xfId="1" applyNumberFormat="1" applyFont="1" applyFill="1" applyBorder="1"/>
    <xf numFmtId="0" fontId="33" fillId="0" borderId="0" xfId="0" applyFont="1" applyFill="1" applyBorder="1" applyAlignment="1"/>
    <xf numFmtId="37" fontId="33" fillId="0" borderId="0" xfId="0" applyNumberFormat="1" applyFont="1" applyFill="1" applyBorder="1" applyAlignment="1">
      <alignment horizontal="center"/>
    </xf>
    <xf numFmtId="37" fontId="33" fillId="0" borderId="0" xfId="0" applyNumberFormat="1" applyFont="1" applyFill="1" applyBorder="1" applyAlignment="1">
      <alignment horizontal="left"/>
    </xf>
    <xf numFmtId="9" fontId="35" fillId="0" borderId="0" xfId="3" applyFont="1" applyFill="1" applyBorder="1" applyAlignment="1">
      <alignment horizontal="center"/>
    </xf>
    <xf numFmtId="37" fontId="35" fillId="0" borderId="0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0" fontId="37" fillId="0" borderId="0" xfId="0" applyFont="1" applyFill="1" applyBorder="1"/>
    <xf numFmtId="168" fontId="35" fillId="0" borderId="0" xfId="0" applyNumberFormat="1" applyFont="1" applyFill="1" applyBorder="1" applyAlignment="1">
      <alignment horizontal="center"/>
    </xf>
    <xf numFmtId="187" fontId="35" fillId="0" borderId="0" xfId="3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center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37" fontId="33" fillId="0" borderId="0" xfId="0" quotePrefix="1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2" fillId="2" borderId="0" xfId="0" applyFont="1" applyFill="1" applyBorder="1"/>
    <xf numFmtId="37" fontId="35" fillId="2" borderId="0" xfId="0" applyNumberFormat="1" applyFont="1" applyFill="1" applyBorder="1" applyAlignment="1">
      <alignment horizontal="center"/>
    </xf>
    <xf numFmtId="0" fontId="33" fillId="2" borderId="0" xfId="0" applyFont="1" applyFill="1" applyBorder="1"/>
    <xf numFmtId="0" fontId="33" fillId="2" borderId="0" xfId="0" applyFont="1" applyFill="1" applyBorder="1" applyAlignment="1">
      <alignment horizontal="right"/>
    </xf>
    <xf numFmtId="195" fontId="33" fillId="4" borderId="0" xfId="1" applyNumberFormat="1" applyFont="1" applyFill="1" applyBorder="1"/>
    <xf numFmtId="195" fontId="33" fillId="4" borderId="0" xfId="1" applyNumberFormat="1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3" fontId="33" fillId="4" borderId="0" xfId="0" applyNumberFormat="1" applyFont="1" applyFill="1" applyBorder="1"/>
    <xf numFmtId="37" fontId="33" fillId="2" borderId="0" xfId="0" applyNumberFormat="1" applyFont="1" applyFill="1" applyBorder="1" applyAlignment="1">
      <alignment horizontal="center"/>
    </xf>
    <xf numFmtId="37" fontId="35" fillId="4" borderId="0" xfId="0" applyNumberFormat="1" applyFont="1" applyFill="1" applyBorder="1" applyAlignment="1">
      <alignment horizontal="center"/>
    </xf>
    <xf numFmtId="37" fontId="33" fillId="2" borderId="0" xfId="0" applyNumberFormat="1" applyFont="1" applyFill="1" applyBorder="1" applyAlignment="1">
      <alignment horizontal="left"/>
    </xf>
    <xf numFmtId="0" fontId="33" fillId="2" borderId="0" xfId="0" applyFont="1" applyFill="1" applyBorder="1" applyAlignment="1">
      <alignment horizontal="right"/>
    </xf>
    <xf numFmtId="195" fontId="33" fillId="2" borderId="0" xfId="1" applyNumberFormat="1" applyFont="1" applyFill="1" applyBorder="1"/>
    <xf numFmtId="0" fontId="32" fillId="2" borderId="0" xfId="0" applyFont="1" applyFill="1" applyBorder="1" applyAlignment="1">
      <alignment horizontal="right"/>
    </xf>
    <xf numFmtId="195" fontId="32" fillId="2" borderId="0" xfId="1" applyNumberFormat="1" applyFont="1" applyFill="1" applyBorder="1"/>
    <xf numFmtId="17" fontId="32" fillId="2" borderId="0" xfId="0" applyNumberFormat="1" applyFont="1" applyFill="1" applyBorder="1" applyAlignment="1">
      <alignment horizontal="center"/>
    </xf>
    <xf numFmtId="6" fontId="32" fillId="2" borderId="0" xfId="0" applyNumberFormat="1" applyFont="1" applyFill="1" applyBorder="1"/>
    <xf numFmtId="3" fontId="32" fillId="2" borderId="0" xfId="0" applyNumberFormat="1" applyFont="1" applyFill="1" applyBorder="1"/>
    <xf numFmtId="37" fontId="39" fillId="2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168" fontId="33" fillId="0" borderId="0" xfId="0" applyNumberFormat="1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187" fontId="33" fillId="0" borderId="0" xfId="3" applyNumberFormat="1" applyFont="1" applyFill="1" applyBorder="1" applyAlignment="1">
      <alignment horizontal="center"/>
    </xf>
    <xf numFmtId="37" fontId="33" fillId="0" borderId="0" xfId="0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39" fontId="33" fillId="0" borderId="0" xfId="0" applyNumberFormat="1" applyFont="1" applyFill="1" applyBorder="1" applyAlignment="1">
      <alignment horizontal="center"/>
    </xf>
    <xf numFmtId="169" fontId="33" fillId="0" borderId="0" xfId="0" applyNumberFormat="1" applyFont="1" applyFill="1" applyBorder="1" applyAlignment="1">
      <alignment horizontal="center"/>
    </xf>
    <xf numFmtId="41" fontId="32" fillId="0" borderId="0" xfId="0" applyNumberFormat="1" applyFont="1" applyFill="1" applyBorder="1"/>
    <xf numFmtId="41" fontId="38" fillId="0" borderId="0" xfId="0" applyNumberFormat="1" applyFont="1" applyFill="1" applyBorder="1"/>
    <xf numFmtId="195" fontId="32" fillId="0" borderId="0" xfId="1" applyNumberFormat="1" applyFont="1" applyFill="1" applyBorder="1"/>
    <xf numFmtId="6" fontId="38" fillId="0" borderId="0" xfId="0" applyNumberFormat="1" applyFont="1" applyFill="1" applyBorder="1"/>
    <xf numFmtId="37" fontId="33" fillId="0" borderId="0" xfId="0" applyNumberFormat="1" applyFont="1" applyFill="1" applyBorder="1" applyAlignment="1">
      <alignment horizontal="center"/>
    </xf>
    <xf numFmtId="37" fontId="33" fillId="0" borderId="0" xfId="0" applyNumberFormat="1" applyFont="1" applyFill="1" applyBorder="1" applyAlignment="1">
      <alignment horizontal="left"/>
    </xf>
    <xf numFmtId="37" fontId="33" fillId="0" borderId="0" xfId="0" applyNumberFormat="1" applyFont="1" applyFill="1" applyBorder="1" applyAlignment="1">
      <alignment horizontal="left" indent="1"/>
    </xf>
    <xf numFmtId="37" fontId="33" fillId="0" borderId="0" xfId="0" applyNumberFormat="1" applyFont="1" applyFill="1" applyBorder="1" applyAlignment="1">
      <alignment horizontal="left" vertical="center"/>
    </xf>
    <xf numFmtId="37" fontId="33" fillId="0" borderId="0" xfId="0" applyNumberFormat="1" applyFont="1" applyFill="1" applyBorder="1" applyAlignment="1">
      <alignment horizontal="left" inden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7</xdr:row>
      <xdr:rowOff>190500</xdr:rowOff>
    </xdr:from>
    <xdr:ext cx="117596" cy="215572"/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5086350" y="1695450"/>
          <a:ext cx="117596" cy="215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×</a:t>
          </a:r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5.bin"/><Relationship Id="rId1" Type="http://schemas.openxmlformats.org/officeDocument/2006/relationships/printerSettings" Target="../printerSettings/printerSettings8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tabSelected="1" zoomScale="70" zoomScaleNormal="70" zoomScaleSheetLayoutView="100" workbookViewId="0">
      <selection activeCell="B1" sqref="B1"/>
    </sheetView>
  </sheetViews>
  <sheetFormatPr defaultRowHeight="12.75" x14ac:dyDescent="0.2"/>
  <cols>
    <col min="1" max="1" width="2.7109375" style="1" customWidth="1"/>
    <col min="2" max="4" width="4.7109375" style="1" customWidth="1"/>
    <col min="5" max="6" width="10.28515625" style="1" customWidth="1"/>
    <col min="7" max="7" width="9.7109375" style="1" customWidth="1"/>
    <col min="8" max="8" width="15.85546875" style="1" customWidth="1"/>
    <col min="9" max="9" width="10.28515625" style="1" customWidth="1"/>
    <col min="10" max="10" width="9.28515625" style="1" customWidth="1"/>
    <col min="11" max="11" width="6.7109375" style="1" customWidth="1"/>
    <col min="12" max="12" width="5.42578125" style="1" customWidth="1"/>
    <col min="13" max="16384" width="9.140625" style="1"/>
  </cols>
  <sheetData>
    <row r="1" spans="1:12" ht="30" customHeight="1" x14ac:dyDescent="0.2">
      <c r="A1" s="57"/>
      <c r="B1" s="57"/>
      <c r="C1" s="57"/>
      <c r="D1" s="143" t="s">
        <v>380</v>
      </c>
    </row>
    <row r="2" spans="1:12" s="141" customFormat="1" ht="12.75" customHeight="1" x14ac:dyDescent="0.25">
      <c r="A2" s="144"/>
      <c r="B2" s="236">
        <v>2</v>
      </c>
      <c r="C2" s="237"/>
      <c r="D2" s="238"/>
      <c r="E2" s="245" t="s">
        <v>116</v>
      </c>
      <c r="F2" s="246"/>
      <c r="G2" s="246"/>
      <c r="H2" s="246"/>
      <c r="I2" s="246"/>
      <c r="J2" s="246"/>
      <c r="K2" s="140"/>
    </row>
    <row r="3" spans="1:12" s="141" customFormat="1" ht="12.75" customHeight="1" x14ac:dyDescent="0.25">
      <c r="A3" s="144"/>
      <c r="B3" s="239"/>
      <c r="C3" s="240"/>
      <c r="D3" s="241"/>
      <c r="E3" s="245"/>
      <c r="F3" s="246"/>
      <c r="G3" s="246"/>
      <c r="H3" s="246"/>
      <c r="I3" s="246"/>
      <c r="J3" s="246"/>
      <c r="K3" s="140"/>
    </row>
    <row r="4" spans="1:12" s="141" customFormat="1" ht="12.75" customHeight="1" x14ac:dyDescent="0.25">
      <c r="A4" s="144"/>
      <c r="B4" s="239"/>
      <c r="C4" s="240"/>
      <c r="D4" s="241"/>
      <c r="E4" s="245"/>
      <c r="F4" s="246"/>
      <c r="G4" s="246"/>
      <c r="H4" s="246"/>
      <c r="I4" s="246"/>
      <c r="J4" s="246"/>
      <c r="K4" s="140"/>
    </row>
    <row r="5" spans="1:12" s="141" customFormat="1" ht="12.75" customHeight="1" x14ac:dyDescent="0.25">
      <c r="A5" s="144"/>
      <c r="B5" s="239"/>
      <c r="C5" s="240"/>
      <c r="D5" s="241"/>
      <c r="E5" s="245"/>
      <c r="F5" s="246"/>
      <c r="G5" s="246"/>
      <c r="H5" s="246"/>
      <c r="I5" s="246"/>
      <c r="J5" s="246"/>
      <c r="K5" s="140"/>
    </row>
    <row r="6" spans="1:12" s="141" customFormat="1" ht="12.75" customHeight="1" x14ac:dyDescent="0.25">
      <c r="A6" s="144"/>
      <c r="B6" s="242"/>
      <c r="C6" s="243"/>
      <c r="D6" s="244"/>
      <c r="E6" s="245"/>
      <c r="F6" s="246"/>
      <c r="G6" s="246"/>
      <c r="H6" s="246"/>
      <c r="I6" s="246"/>
      <c r="J6" s="246"/>
      <c r="K6" s="140"/>
    </row>
    <row r="7" spans="1:12" s="141" customFormat="1" ht="9.75" customHeight="1" x14ac:dyDescent="0.25">
      <c r="A7" s="144"/>
      <c r="B7" s="145"/>
      <c r="C7" s="145"/>
      <c r="D7" s="145"/>
      <c r="E7" s="146"/>
      <c r="F7" s="146"/>
      <c r="G7" s="146"/>
      <c r="H7" s="146"/>
      <c r="I7" s="146"/>
      <c r="J7" s="146"/>
      <c r="K7" s="140"/>
    </row>
    <row r="8" spans="1:12" s="149" customFormat="1" ht="20.100000000000001" customHeight="1" x14ac:dyDescent="0.25">
      <c r="A8" s="247" t="s">
        <v>244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</row>
    <row r="9" spans="1:12" s="149" customFormat="1" ht="9.75" customHeight="1" x14ac:dyDescent="0.25">
      <c r="B9" s="41"/>
      <c r="C9" s="41"/>
      <c r="D9" s="41"/>
      <c r="E9" s="41"/>
      <c r="F9" s="41"/>
      <c r="G9" s="41"/>
      <c r="H9" s="41"/>
      <c r="I9" s="41"/>
      <c r="J9" s="41"/>
    </row>
    <row r="10" spans="1:12" s="189" customFormat="1" ht="14.25" customHeight="1" x14ac:dyDescent="0.25">
      <c r="B10" s="190" t="s">
        <v>354</v>
      </c>
      <c r="C10" s="191" t="s">
        <v>273</v>
      </c>
    </row>
    <row r="11" spans="1:12" s="189" customFormat="1" ht="14.25" customHeight="1" x14ac:dyDescent="0.2">
      <c r="C11" s="189" t="s">
        <v>274</v>
      </c>
    </row>
    <row r="12" spans="1:12" s="189" customFormat="1" ht="14.25" customHeight="1" x14ac:dyDescent="0.2">
      <c r="C12" s="189" t="s">
        <v>275</v>
      </c>
    </row>
    <row r="13" spans="1:12" s="189" customFormat="1" ht="8.1" customHeight="1" x14ac:dyDescent="0.25">
      <c r="C13" s="190"/>
    </row>
    <row r="14" spans="1:12" s="189" customFormat="1" ht="14.25" customHeight="1" x14ac:dyDescent="0.25">
      <c r="B14" s="190" t="s">
        <v>355</v>
      </c>
      <c r="C14" s="192" t="s">
        <v>276</v>
      </c>
    </row>
    <row r="15" spans="1:12" s="189" customFormat="1" ht="14.25" customHeight="1" x14ac:dyDescent="0.2">
      <c r="C15" s="193" t="s">
        <v>277</v>
      </c>
    </row>
    <row r="16" spans="1:12" s="189" customFormat="1" ht="14.25" customHeight="1" x14ac:dyDescent="0.2">
      <c r="C16" s="194" t="s">
        <v>278</v>
      </c>
    </row>
    <row r="17" spans="2:3" s="189" customFormat="1" ht="14.25" customHeight="1" x14ac:dyDescent="0.2">
      <c r="C17" s="189" t="s">
        <v>279</v>
      </c>
    </row>
    <row r="18" spans="2:3" s="189" customFormat="1" ht="14.25" customHeight="1" x14ac:dyDescent="0.2">
      <c r="C18" s="189" t="s">
        <v>280</v>
      </c>
    </row>
    <row r="19" spans="2:3" s="189" customFormat="1" ht="8.1" customHeight="1" x14ac:dyDescent="0.25">
      <c r="C19" s="190"/>
    </row>
    <row r="20" spans="2:3" s="189" customFormat="1" ht="14.25" customHeight="1" x14ac:dyDescent="0.25">
      <c r="B20" s="190" t="s">
        <v>356</v>
      </c>
      <c r="C20" s="189" t="s">
        <v>136</v>
      </c>
    </row>
    <row r="21" spans="2:3" s="189" customFormat="1" ht="14.25" customHeight="1" x14ac:dyDescent="0.2">
      <c r="C21" s="189" t="s">
        <v>137</v>
      </c>
    </row>
    <row r="22" spans="2:3" s="189" customFormat="1" ht="14.25" customHeight="1" x14ac:dyDescent="0.2">
      <c r="C22" s="189" t="s">
        <v>138</v>
      </c>
    </row>
    <row r="23" spans="2:3" s="189" customFormat="1" ht="14.25" customHeight="1" x14ac:dyDescent="0.2">
      <c r="C23" s="189" t="s">
        <v>139</v>
      </c>
    </row>
    <row r="24" spans="2:3" s="189" customFormat="1" ht="14.25" customHeight="1" x14ac:dyDescent="0.2">
      <c r="C24" s="189" t="s">
        <v>140</v>
      </c>
    </row>
    <row r="25" spans="2:3" s="189" customFormat="1" ht="14.25" customHeight="1" x14ac:dyDescent="0.2">
      <c r="C25" s="189" t="s">
        <v>141</v>
      </c>
    </row>
    <row r="26" spans="2:3" s="189" customFormat="1" ht="14.25" customHeight="1" x14ac:dyDescent="0.2">
      <c r="C26" s="189" t="s">
        <v>142</v>
      </c>
    </row>
    <row r="27" spans="2:3" s="189" customFormat="1" ht="8.1" customHeight="1" x14ac:dyDescent="0.2"/>
    <row r="28" spans="2:3" s="189" customFormat="1" ht="14.25" customHeight="1" x14ac:dyDescent="0.25">
      <c r="B28" s="190" t="s">
        <v>357</v>
      </c>
      <c r="C28" s="192" t="s">
        <v>143</v>
      </c>
    </row>
    <row r="29" spans="2:3" s="189" customFormat="1" ht="14.25" customHeight="1" x14ac:dyDescent="0.2">
      <c r="C29" s="192" t="s">
        <v>269</v>
      </c>
    </row>
    <row r="30" spans="2:3" s="189" customFormat="1" ht="14.25" customHeight="1" x14ac:dyDescent="0.2">
      <c r="C30" s="189" t="s">
        <v>270</v>
      </c>
    </row>
    <row r="31" spans="2:3" s="189" customFormat="1" ht="14.25" customHeight="1" x14ac:dyDescent="0.2">
      <c r="C31" s="189" t="s">
        <v>282</v>
      </c>
    </row>
    <row r="32" spans="2:3" s="189" customFormat="1" ht="14.25" customHeight="1" x14ac:dyDescent="0.2">
      <c r="C32" s="189" t="s">
        <v>281</v>
      </c>
    </row>
    <row r="33" spans="2:3" s="189" customFormat="1" ht="8.1" customHeight="1" x14ac:dyDescent="0.2"/>
    <row r="34" spans="2:3" s="189" customFormat="1" ht="14.25" customHeight="1" x14ac:dyDescent="0.25">
      <c r="B34" s="190" t="s">
        <v>358</v>
      </c>
      <c r="C34" s="189" t="s">
        <v>283</v>
      </c>
    </row>
    <row r="35" spans="2:3" s="189" customFormat="1" ht="14.25" customHeight="1" x14ac:dyDescent="0.2">
      <c r="C35" s="189" t="s">
        <v>284</v>
      </c>
    </row>
    <row r="36" spans="2:3" s="189" customFormat="1" ht="14.25" customHeight="1" x14ac:dyDescent="0.2">
      <c r="C36" s="189" t="s">
        <v>285</v>
      </c>
    </row>
    <row r="37" spans="2:3" s="189" customFormat="1" ht="8.1" customHeight="1" x14ac:dyDescent="0.2"/>
    <row r="38" spans="2:3" s="189" customFormat="1" ht="14.25" customHeight="1" x14ac:dyDescent="0.25">
      <c r="B38" s="190" t="s">
        <v>359</v>
      </c>
      <c r="C38" s="189" t="s">
        <v>144</v>
      </c>
    </row>
    <row r="39" spans="2:3" s="189" customFormat="1" ht="14.25" customHeight="1" x14ac:dyDescent="0.2">
      <c r="C39" s="189" t="s">
        <v>146</v>
      </c>
    </row>
    <row r="40" spans="2:3" s="189" customFormat="1" ht="14.25" customHeight="1" x14ac:dyDescent="0.2">
      <c r="C40" s="189" t="s">
        <v>145</v>
      </c>
    </row>
    <row r="41" spans="2:3" s="189" customFormat="1" ht="8.1" customHeight="1" x14ac:dyDescent="0.2"/>
    <row r="42" spans="2:3" s="189" customFormat="1" ht="14.25" customHeight="1" x14ac:dyDescent="0.25">
      <c r="B42" s="190" t="s">
        <v>382</v>
      </c>
      <c r="C42" s="189" t="s">
        <v>147</v>
      </c>
    </row>
    <row r="43" spans="2:3" s="189" customFormat="1" ht="14.25" customHeight="1" x14ac:dyDescent="0.2">
      <c r="C43" s="189" t="s">
        <v>286</v>
      </c>
    </row>
    <row r="44" spans="2:3" s="189" customFormat="1" ht="14.25" customHeight="1" x14ac:dyDescent="0.2">
      <c r="C44" s="189" t="s">
        <v>287</v>
      </c>
    </row>
    <row r="45" spans="2:3" s="189" customFormat="1" ht="8.1" customHeight="1" x14ac:dyDescent="0.2"/>
    <row r="46" spans="2:3" s="189" customFormat="1" ht="14.25" customHeight="1" x14ac:dyDescent="0.25">
      <c r="B46" s="190" t="s">
        <v>387</v>
      </c>
      <c r="C46" s="189" t="s">
        <v>726</v>
      </c>
    </row>
    <row r="47" spans="2:3" s="189" customFormat="1" ht="14.25" customHeight="1" x14ac:dyDescent="0.2">
      <c r="C47" s="189" t="s">
        <v>0</v>
      </c>
    </row>
    <row r="48" spans="2:3" s="189" customFormat="1" ht="14.25" customHeight="1" x14ac:dyDescent="0.2">
      <c r="C48" s="189" t="s">
        <v>1</v>
      </c>
    </row>
    <row r="49" spans="2:3" s="189" customFormat="1" ht="8.1" customHeight="1" x14ac:dyDescent="0.2"/>
    <row r="50" spans="2:3" s="189" customFormat="1" ht="14.25" customHeight="1" x14ac:dyDescent="0.25">
      <c r="B50" s="190" t="s">
        <v>385</v>
      </c>
      <c r="C50" s="192" t="s">
        <v>288</v>
      </c>
    </row>
    <row r="51" spans="2:3" s="189" customFormat="1" ht="14.25" customHeight="1" x14ac:dyDescent="0.2">
      <c r="C51" s="189" t="s">
        <v>289</v>
      </c>
    </row>
    <row r="52" spans="2:3" s="189" customFormat="1" ht="14.25" customHeight="1" x14ac:dyDescent="0.2">
      <c r="C52" s="189" t="s">
        <v>290</v>
      </c>
    </row>
    <row r="53" spans="2:3" s="189" customFormat="1" ht="14.25" customHeight="1" x14ac:dyDescent="0.2">
      <c r="C53" s="189" t="s">
        <v>291</v>
      </c>
    </row>
    <row r="54" spans="2:3" s="189" customFormat="1" ht="8.1" customHeight="1" x14ac:dyDescent="0.2"/>
    <row r="56" spans="2:3" s="189" customFormat="1" ht="8.1" customHeight="1" x14ac:dyDescent="0.2"/>
    <row r="57" spans="2:3" ht="14.25" customHeight="1" x14ac:dyDescent="0.2"/>
    <row r="58" spans="2:3" ht="14.25" customHeight="1" x14ac:dyDescent="0.2"/>
    <row r="59" spans="2:3" ht="14.25" customHeight="1" x14ac:dyDescent="0.2"/>
    <row r="60" spans="2:3" ht="14.25" customHeight="1" x14ac:dyDescent="0.2"/>
  </sheetData>
  <customSheetViews>
    <customSheetView guid="{C95BCE97-951E-4C98-84AE-A423A99BB34B}" showPageBreaks="1" showGridLines="0" fitToPage="1" printArea="1">
      <selection activeCell="D1" sqref="D1"/>
      <pageMargins left="1" right="0.5" top="0.85" bottom="0.8" header="0.5" footer="0.35"/>
      <printOptions horizontalCentered="1"/>
      <pageSetup scale="91" orientation="portrait" r:id="rId1"/>
      <headerFooter alignWithMargins="0"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howGridLines="0" fitToPage="1" topLeftCell="A28">
      <selection activeCell="K29" sqref="K29"/>
      <pageMargins left="1" right="0.5" top="0.85" bottom="0.8" header="0.5" footer="0.35"/>
      <printOptions horizontalCentered="1"/>
      <pageSetup scale="90" orientation="portrait"/>
      <headerFooter alignWithMargins="0"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GridLines="0" fitToPage="1" showRuler="0">
      <selection activeCell="D1" sqref="D1"/>
      <pageMargins left="1" right="0.5" top="0.85" bottom="0.8" header="0.5" footer="0.35"/>
      <printOptions horizontalCentered="1"/>
      <pageSetup scale="91" orientation="portrait" r:id="rId2"/>
      <headerFooter alignWithMargins="0"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3">
    <mergeCell ref="B2:D6"/>
    <mergeCell ref="E2:J6"/>
    <mergeCell ref="A8:L8"/>
  </mergeCells>
  <phoneticPr fontId="11" type="noConversion"/>
  <printOptions horizontalCentered="1"/>
  <pageMargins left="1" right="0.7" top="0.85" bottom="0.8" header="0.5" footer="0.35"/>
  <pageSetup scale="93" orientation="portrait" r:id="rId3"/>
  <headerFooter alignWithMargins="0"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="85" zoomScaleNormal="85" workbookViewId="0"/>
  </sheetViews>
  <sheetFormatPr defaultRowHeight="15.75" x14ac:dyDescent="0.25"/>
  <cols>
    <col min="1" max="1" width="4.7109375" style="3" customWidth="1"/>
    <col min="2" max="2" width="2.7109375" style="3" customWidth="1"/>
    <col min="3" max="3" width="9.7109375" style="3" customWidth="1"/>
    <col min="4" max="4" width="11.7109375" style="3" customWidth="1"/>
    <col min="5" max="5" width="4.140625" style="3" customWidth="1"/>
    <col min="6" max="6" width="11.42578125" style="3" customWidth="1"/>
    <col min="7" max="7" width="10.7109375" style="3" customWidth="1"/>
    <col min="8" max="8" width="10.85546875" style="3" customWidth="1"/>
    <col min="9" max="9" width="1.28515625" style="3" customWidth="1"/>
    <col min="10" max="10" width="10.28515625" style="3" customWidth="1"/>
    <col min="11" max="11" width="1.85546875" style="3" customWidth="1"/>
    <col min="12" max="12" width="14.42578125" style="3" customWidth="1"/>
    <col min="13" max="13" width="5.42578125" style="3" customWidth="1"/>
    <col min="14" max="14" width="8.7109375" style="3" customWidth="1"/>
    <col min="15" max="15" width="2.7109375" style="3" customWidth="1"/>
    <col min="16" max="16" width="8.28515625" style="297" hidden="1" customWidth="1"/>
    <col min="17" max="17" width="4.7109375" style="297" hidden="1" customWidth="1"/>
    <col min="18" max="18" width="11.5703125" style="297" hidden="1" customWidth="1"/>
    <col min="19" max="19" width="2.7109375" style="297" hidden="1" customWidth="1"/>
    <col min="20" max="20" width="0" style="297" hidden="1" customWidth="1"/>
    <col min="21" max="21" width="2.7109375" style="3" customWidth="1"/>
    <col min="22" max="22" width="9.140625" style="3"/>
    <col min="23" max="23" width="2.7109375" style="3" customWidth="1"/>
    <col min="24" max="16384" width="9.140625" style="3"/>
  </cols>
  <sheetData>
    <row r="1" spans="1:20" ht="30" customHeight="1" x14ac:dyDescent="0.25"/>
    <row r="2" spans="1:20" ht="15.75" customHeight="1" x14ac:dyDescent="0.25">
      <c r="A2" s="3" t="s">
        <v>104</v>
      </c>
      <c r="O2" s="6"/>
    </row>
    <row r="3" spans="1:20" ht="5.0999999999999996" customHeight="1" thickBot="1" x14ac:dyDescent="0.3">
      <c r="O3" s="6"/>
    </row>
    <row r="4" spans="1:20" ht="15.75" customHeight="1" x14ac:dyDescent="0.25">
      <c r="A4" s="10" t="s">
        <v>354</v>
      </c>
      <c r="B4" s="16"/>
      <c r="C4" s="16"/>
      <c r="D4" s="16"/>
      <c r="E4" s="16"/>
      <c r="F4" s="258" t="s">
        <v>325</v>
      </c>
      <c r="G4" s="258"/>
      <c r="H4" s="258"/>
      <c r="I4" s="188"/>
      <c r="J4" s="258" t="s">
        <v>326</v>
      </c>
      <c r="K4" s="258"/>
      <c r="L4" s="258"/>
      <c r="M4" s="108"/>
      <c r="N4" s="6"/>
      <c r="O4" s="6"/>
    </row>
    <row r="5" spans="1:20" ht="15.75" customHeight="1" x14ac:dyDescent="0.25">
      <c r="B5" s="99"/>
      <c r="C5" s="99"/>
      <c r="D5" s="99"/>
      <c r="E5" s="99"/>
      <c r="F5" s="8" t="s">
        <v>317</v>
      </c>
      <c r="G5" s="8" t="s">
        <v>317</v>
      </c>
      <c r="H5" s="8" t="s">
        <v>320</v>
      </c>
      <c r="I5" s="8"/>
      <c r="J5" s="8" t="s">
        <v>322</v>
      </c>
      <c r="K5" s="263" t="s">
        <v>324</v>
      </c>
      <c r="L5" s="263"/>
      <c r="M5" s="39"/>
      <c r="N5" s="39"/>
      <c r="O5" s="6"/>
    </row>
    <row r="6" spans="1:20" ht="15.75" customHeight="1" thickBot="1" x14ac:dyDescent="0.3">
      <c r="B6" s="257" t="s">
        <v>332</v>
      </c>
      <c r="C6" s="257"/>
      <c r="D6" s="257"/>
      <c r="E6" s="17"/>
      <c r="F6" s="25" t="s">
        <v>318</v>
      </c>
      <c r="G6" s="25" t="s">
        <v>319</v>
      </c>
      <c r="H6" s="25" t="s">
        <v>321</v>
      </c>
      <c r="I6" s="25"/>
      <c r="J6" s="25" t="s">
        <v>323</v>
      </c>
      <c r="K6" s="257" t="s">
        <v>323</v>
      </c>
      <c r="L6" s="257"/>
      <c r="M6" s="39"/>
      <c r="N6" s="39"/>
      <c r="O6" s="6"/>
    </row>
    <row r="7" spans="1:20" ht="5.0999999999999996" customHeight="1" x14ac:dyDescent="0.25">
      <c r="B7" s="35"/>
      <c r="C7" s="35"/>
      <c r="F7" s="36"/>
      <c r="G7" s="36"/>
      <c r="H7" s="36"/>
      <c r="I7" s="36"/>
      <c r="J7" s="36"/>
      <c r="K7" s="36"/>
      <c r="L7" s="36"/>
      <c r="O7" s="6"/>
    </row>
    <row r="8" spans="1:20" ht="15.75" customHeight="1" x14ac:dyDescent="0.25">
      <c r="B8" s="35" t="s">
        <v>646</v>
      </c>
      <c r="C8" s="35"/>
      <c r="F8" s="110">
        <f>T10</f>
        <v>216000</v>
      </c>
      <c r="G8" s="111"/>
      <c r="H8" s="111"/>
      <c r="I8" s="111"/>
      <c r="J8" s="111"/>
      <c r="K8" s="111"/>
      <c r="L8" s="123"/>
      <c r="O8" s="41"/>
      <c r="P8" s="298"/>
      <c r="Q8" s="298"/>
    </row>
    <row r="9" spans="1:20" ht="15.75" customHeight="1" x14ac:dyDescent="0.25">
      <c r="B9" s="35" t="s">
        <v>647</v>
      </c>
      <c r="C9" s="35"/>
      <c r="F9" s="111" t="s">
        <v>380</v>
      </c>
      <c r="G9" s="111"/>
      <c r="H9" s="112">
        <f>T11</f>
        <v>24000</v>
      </c>
      <c r="I9" s="112"/>
      <c r="J9" s="111"/>
      <c r="K9" s="111"/>
      <c r="L9" s="123"/>
      <c r="O9" s="6"/>
      <c r="R9" s="301"/>
    </row>
    <row r="10" spans="1:20" ht="15.75" customHeight="1" x14ac:dyDescent="0.25">
      <c r="B10" s="35" t="s">
        <v>648</v>
      </c>
      <c r="C10" s="35"/>
      <c r="F10" s="111" t="s">
        <v>380</v>
      </c>
      <c r="G10" s="110">
        <f>T12</f>
        <v>120000</v>
      </c>
      <c r="H10" s="111"/>
      <c r="I10" s="111"/>
      <c r="J10" s="111"/>
      <c r="K10" s="111"/>
      <c r="L10" s="123"/>
      <c r="O10" s="6"/>
      <c r="P10" s="316" t="s">
        <v>752</v>
      </c>
      <c r="Q10" s="316"/>
      <c r="R10" s="316"/>
      <c r="S10" s="316"/>
      <c r="T10" s="306">
        <v>216000</v>
      </c>
    </row>
    <row r="11" spans="1:20" ht="15.75" customHeight="1" x14ac:dyDescent="0.25">
      <c r="B11" s="35" t="s">
        <v>649</v>
      </c>
      <c r="C11" s="35"/>
      <c r="F11" s="111" t="s">
        <v>380</v>
      </c>
      <c r="G11" s="111"/>
      <c r="H11" s="113">
        <f>T13</f>
        <v>6300</v>
      </c>
      <c r="I11" s="113"/>
      <c r="J11" s="111"/>
      <c r="K11" s="111"/>
      <c r="L11" s="123"/>
      <c r="O11" s="6"/>
      <c r="P11" s="316" t="s">
        <v>753</v>
      </c>
      <c r="Q11" s="316"/>
      <c r="R11" s="316"/>
      <c r="S11" s="316"/>
      <c r="T11" s="306">
        <v>24000</v>
      </c>
    </row>
    <row r="12" spans="1:20" ht="15.75" customHeight="1" x14ac:dyDescent="0.25">
      <c r="B12" s="138" t="s">
        <v>184</v>
      </c>
      <c r="F12" s="111" t="s">
        <v>380</v>
      </c>
      <c r="G12" s="111"/>
      <c r="H12" s="113">
        <f>T14</f>
        <v>50000</v>
      </c>
      <c r="I12" s="113"/>
      <c r="J12" s="111"/>
      <c r="K12" s="111"/>
      <c r="L12" s="123"/>
      <c r="O12" s="6"/>
      <c r="P12" s="316" t="s">
        <v>754</v>
      </c>
      <c r="Q12" s="316"/>
      <c r="R12" s="316"/>
      <c r="S12" s="316"/>
      <c r="T12" s="306">
        <v>120000</v>
      </c>
    </row>
    <row r="13" spans="1:20" ht="15.75" customHeight="1" x14ac:dyDescent="0.25">
      <c r="B13" s="35" t="s">
        <v>329</v>
      </c>
      <c r="C13" s="35"/>
      <c r="F13" s="111" t="s">
        <v>380</v>
      </c>
      <c r="G13" s="111"/>
      <c r="H13" s="113"/>
      <c r="I13" s="113"/>
      <c r="J13" s="111"/>
      <c r="K13" s="111"/>
      <c r="L13" s="123"/>
      <c r="O13" s="6"/>
      <c r="P13" s="316" t="s">
        <v>755</v>
      </c>
      <c r="Q13" s="316"/>
      <c r="R13" s="316"/>
      <c r="S13" s="316"/>
      <c r="T13" s="306">
        <v>6300</v>
      </c>
    </row>
    <row r="14" spans="1:20" ht="15.75" customHeight="1" x14ac:dyDescent="0.25">
      <c r="B14" s="116" t="s">
        <v>650</v>
      </c>
      <c r="F14" s="111" t="s">
        <v>380</v>
      </c>
      <c r="G14" s="111"/>
      <c r="H14" s="113">
        <f>T15</f>
        <v>30000</v>
      </c>
      <c r="I14" s="113"/>
      <c r="J14" s="111"/>
      <c r="K14" s="111"/>
      <c r="L14" s="123"/>
      <c r="O14" s="6"/>
      <c r="P14" s="316" t="s">
        <v>756</v>
      </c>
      <c r="Q14" s="316"/>
      <c r="R14" s="316"/>
      <c r="S14" s="316"/>
      <c r="T14" s="306">
        <v>50000</v>
      </c>
    </row>
    <row r="15" spans="1:20" ht="15.75" customHeight="1" x14ac:dyDescent="0.25">
      <c r="B15" s="35" t="s">
        <v>188</v>
      </c>
      <c r="C15" s="35"/>
      <c r="F15" s="111" t="s">
        <v>380</v>
      </c>
      <c r="G15" s="111"/>
      <c r="H15" s="113"/>
      <c r="I15" s="113"/>
      <c r="J15" s="111"/>
      <c r="K15" s="111"/>
      <c r="L15" s="123"/>
      <c r="O15" s="6"/>
      <c r="P15" s="316" t="s">
        <v>757</v>
      </c>
      <c r="Q15" s="316"/>
      <c r="R15" s="316"/>
      <c r="S15" s="316"/>
      <c r="T15" s="306">
        <v>30000</v>
      </c>
    </row>
    <row r="16" spans="1:20" ht="15.75" customHeight="1" x14ac:dyDescent="0.25">
      <c r="B16" s="116" t="s">
        <v>187</v>
      </c>
      <c r="F16" s="111" t="s">
        <v>380</v>
      </c>
      <c r="G16" s="111"/>
      <c r="H16" s="113">
        <f>T16</f>
        <v>9000</v>
      </c>
      <c r="I16" s="113"/>
      <c r="J16" s="111"/>
      <c r="K16" s="111"/>
      <c r="L16" s="123"/>
      <c r="P16" s="316" t="s">
        <v>764</v>
      </c>
      <c r="Q16" s="316"/>
      <c r="R16" s="316"/>
      <c r="S16" s="316"/>
      <c r="T16" s="306">
        <v>9000</v>
      </c>
    </row>
    <row r="17" spans="1:20" ht="15.75" customHeight="1" x14ac:dyDescent="0.25">
      <c r="B17" s="35" t="s">
        <v>651</v>
      </c>
      <c r="C17" s="35"/>
      <c r="F17" s="111" t="s">
        <v>380</v>
      </c>
      <c r="G17" s="111"/>
      <c r="H17" s="111"/>
      <c r="I17" s="111"/>
      <c r="J17" s="112">
        <f>T17</f>
        <v>27000</v>
      </c>
      <c r="K17" s="112"/>
      <c r="L17" s="123"/>
      <c r="O17" s="222"/>
      <c r="P17" s="316" t="s">
        <v>758</v>
      </c>
      <c r="Q17" s="316"/>
      <c r="R17" s="316"/>
      <c r="S17" s="316"/>
      <c r="T17" s="306">
        <v>27000</v>
      </c>
    </row>
    <row r="18" spans="1:20" ht="15.75" customHeight="1" x14ac:dyDescent="0.25">
      <c r="B18" s="35" t="s">
        <v>652</v>
      </c>
      <c r="C18" s="35"/>
      <c r="F18" s="111" t="s">
        <v>380</v>
      </c>
      <c r="G18" s="111"/>
      <c r="H18" s="111"/>
      <c r="I18" s="111"/>
      <c r="J18" s="113">
        <f>T18</f>
        <v>65000</v>
      </c>
      <c r="K18" s="113"/>
      <c r="L18" s="123"/>
      <c r="O18" s="6"/>
      <c r="P18" s="316" t="s">
        <v>759</v>
      </c>
      <c r="Q18" s="316"/>
      <c r="R18" s="316"/>
      <c r="S18" s="316"/>
      <c r="T18" s="306">
        <v>65000</v>
      </c>
    </row>
    <row r="19" spans="1:20" ht="15.75" customHeight="1" x14ac:dyDescent="0.25">
      <c r="B19" s="35" t="s">
        <v>653</v>
      </c>
      <c r="C19" s="35"/>
      <c r="F19" s="111" t="s">
        <v>380</v>
      </c>
      <c r="G19" s="111"/>
      <c r="H19" s="111"/>
      <c r="I19" s="111"/>
      <c r="J19" s="113">
        <f>T19</f>
        <v>37000</v>
      </c>
      <c r="K19" s="113"/>
      <c r="L19" s="123"/>
      <c r="O19" s="6"/>
      <c r="P19" s="316" t="s">
        <v>760</v>
      </c>
      <c r="Q19" s="316"/>
      <c r="R19" s="316"/>
      <c r="S19" s="316"/>
      <c r="T19" s="306">
        <v>37000</v>
      </c>
    </row>
    <row r="20" spans="1:20" ht="15.75" customHeight="1" x14ac:dyDescent="0.25">
      <c r="B20" s="35" t="s">
        <v>327</v>
      </c>
      <c r="C20" s="35"/>
      <c r="F20" s="111" t="s">
        <v>380</v>
      </c>
      <c r="G20" s="111"/>
      <c r="H20" s="111"/>
      <c r="I20" s="111"/>
      <c r="J20" s="32"/>
      <c r="K20" s="32"/>
      <c r="L20" s="123"/>
      <c r="O20" s="6"/>
      <c r="P20" s="316" t="s">
        <v>761</v>
      </c>
      <c r="Q20" s="316"/>
      <c r="R20" s="316"/>
      <c r="S20" s="316"/>
      <c r="T20" s="306">
        <v>10000</v>
      </c>
    </row>
    <row r="21" spans="1:20" ht="15.75" customHeight="1" x14ac:dyDescent="0.25">
      <c r="B21" s="116" t="s">
        <v>654</v>
      </c>
      <c r="F21" s="111" t="s">
        <v>380</v>
      </c>
      <c r="G21" s="111"/>
      <c r="H21" s="32"/>
      <c r="I21" s="32"/>
      <c r="J21" s="111"/>
      <c r="K21" s="111"/>
      <c r="L21" s="204">
        <f>T20</f>
        <v>10000</v>
      </c>
      <c r="O21" s="6"/>
      <c r="P21" s="316" t="s">
        <v>765</v>
      </c>
      <c r="Q21" s="316"/>
      <c r="R21" s="316"/>
      <c r="S21" s="316"/>
      <c r="T21" s="306">
        <v>30000</v>
      </c>
    </row>
    <row r="22" spans="1:20" ht="15.75" customHeight="1" x14ac:dyDescent="0.25">
      <c r="B22" s="35" t="s">
        <v>186</v>
      </c>
      <c r="C22" s="35"/>
      <c r="F22" s="111" t="s">
        <v>380</v>
      </c>
      <c r="G22" s="111"/>
      <c r="H22" s="111"/>
      <c r="I22" s="111"/>
      <c r="J22" s="111"/>
      <c r="K22" s="111"/>
      <c r="L22" s="205"/>
      <c r="O22" s="6"/>
      <c r="P22" s="316" t="s">
        <v>762</v>
      </c>
      <c r="Q22" s="316"/>
      <c r="R22" s="316"/>
      <c r="S22" s="316"/>
      <c r="T22" s="306">
        <v>175000</v>
      </c>
    </row>
    <row r="23" spans="1:20" ht="15.75" customHeight="1" x14ac:dyDescent="0.25">
      <c r="B23" s="116" t="s">
        <v>185</v>
      </c>
      <c r="F23" s="111" t="s">
        <v>380</v>
      </c>
      <c r="G23" s="111"/>
      <c r="H23" s="111"/>
      <c r="I23" s="111"/>
      <c r="J23" s="111"/>
      <c r="K23" s="111"/>
      <c r="L23" s="206">
        <f>T21</f>
        <v>30000</v>
      </c>
      <c r="O23" s="6"/>
      <c r="P23" s="316" t="s">
        <v>763</v>
      </c>
      <c r="Q23" s="316"/>
      <c r="R23" s="316"/>
      <c r="S23" s="316"/>
      <c r="T23" s="306">
        <v>28000</v>
      </c>
    </row>
    <row r="24" spans="1:20" ht="15.75" customHeight="1" x14ac:dyDescent="0.25">
      <c r="B24" s="35" t="s">
        <v>655</v>
      </c>
      <c r="C24" s="35"/>
      <c r="F24" s="111" t="s">
        <v>380</v>
      </c>
      <c r="G24" s="111"/>
      <c r="H24" s="111"/>
      <c r="I24" s="111"/>
      <c r="J24" s="111"/>
      <c r="K24" s="111"/>
      <c r="L24" s="206">
        <f>T22</f>
        <v>175000</v>
      </c>
      <c r="O24" s="6"/>
    </row>
    <row r="25" spans="1:20" ht="15.75" customHeight="1" x14ac:dyDescent="0.25">
      <c r="B25" s="35" t="s">
        <v>328</v>
      </c>
      <c r="C25" s="35"/>
      <c r="F25" s="111" t="s">
        <v>380</v>
      </c>
      <c r="G25" s="111"/>
      <c r="H25" s="111"/>
      <c r="I25" s="111"/>
      <c r="J25" s="111"/>
      <c r="K25" s="111"/>
      <c r="L25" s="206"/>
    </row>
    <row r="26" spans="1:20" ht="15.75" customHeight="1" x14ac:dyDescent="0.25">
      <c r="B26" s="117" t="s">
        <v>656</v>
      </c>
      <c r="C26" s="6"/>
      <c r="D26" s="6"/>
      <c r="E26" s="6"/>
      <c r="F26" s="114" t="s">
        <v>380</v>
      </c>
      <c r="G26" s="114"/>
      <c r="H26" s="115">
        <f>T23</f>
        <v>28000</v>
      </c>
      <c r="I26" s="115"/>
      <c r="J26" s="114"/>
      <c r="K26" s="114"/>
      <c r="L26" s="207"/>
      <c r="M26" s="6"/>
      <c r="N26" s="6"/>
      <c r="O26" s="6"/>
    </row>
    <row r="27" spans="1:20" ht="15.75" customHeight="1" thickBot="1" x14ac:dyDescent="0.3">
      <c r="B27" s="118" t="s">
        <v>657</v>
      </c>
      <c r="D27" s="6"/>
      <c r="E27" s="6"/>
      <c r="F27" s="119">
        <f>SUM(F8:F26)</f>
        <v>216000</v>
      </c>
      <c r="G27" s="119">
        <f>SUM(G8:G26)</f>
        <v>120000</v>
      </c>
      <c r="H27" s="119">
        <f>SUM(H8:H26)</f>
        <v>147300</v>
      </c>
      <c r="I27" s="119"/>
      <c r="J27" s="119">
        <f>SUM(J8:J26)</f>
        <v>129000</v>
      </c>
      <c r="K27" s="119"/>
      <c r="L27" s="208">
        <f>SUM(L8:L26)</f>
        <v>215000</v>
      </c>
      <c r="M27" s="6"/>
      <c r="N27" s="6"/>
      <c r="O27" s="222"/>
    </row>
    <row r="28" spans="1:20" ht="9.75" customHeight="1" thickTop="1" thickBot="1" x14ac:dyDescent="0.3">
      <c r="B28" s="7"/>
      <c r="C28" s="7"/>
      <c r="D28" s="7"/>
      <c r="E28" s="7"/>
      <c r="F28" s="120"/>
      <c r="G28" s="120"/>
      <c r="H28" s="120"/>
      <c r="I28" s="120"/>
      <c r="J28" s="120"/>
      <c r="K28" s="120"/>
      <c r="L28" s="124"/>
      <c r="M28" s="6"/>
      <c r="N28" s="6"/>
      <c r="O28" s="222"/>
    </row>
    <row r="29" spans="1:20" ht="9.75" customHeight="1" x14ac:dyDescent="0.25">
      <c r="O29" s="222"/>
    </row>
    <row r="30" spans="1:20" ht="15.75" customHeight="1" x14ac:dyDescent="0.25">
      <c r="A30" s="10" t="s">
        <v>355</v>
      </c>
      <c r="B30" s="3" t="s">
        <v>497</v>
      </c>
      <c r="K30" s="3" t="s">
        <v>380</v>
      </c>
      <c r="L30" s="5">
        <f>F27</f>
        <v>216000</v>
      </c>
      <c r="O30" s="222"/>
    </row>
    <row r="31" spans="1:20" ht="15.75" customHeight="1" x14ac:dyDescent="0.25">
      <c r="B31" s="3" t="s">
        <v>498</v>
      </c>
      <c r="K31" s="3" t="s">
        <v>380</v>
      </c>
      <c r="L31" s="13">
        <f>G27</f>
        <v>120000</v>
      </c>
      <c r="O31" s="222"/>
    </row>
    <row r="32" spans="1:20" ht="15.75" customHeight="1" x14ac:dyDescent="0.25">
      <c r="B32" s="3" t="s">
        <v>644</v>
      </c>
      <c r="K32" s="3" t="s">
        <v>380</v>
      </c>
      <c r="L32" s="13">
        <f>H27</f>
        <v>147300</v>
      </c>
      <c r="O32" s="222"/>
    </row>
    <row r="33" spans="1:22" ht="15.75" customHeight="1" thickBot="1" x14ac:dyDescent="0.3">
      <c r="B33" s="104" t="s">
        <v>645</v>
      </c>
      <c r="K33" s="3" t="s">
        <v>380</v>
      </c>
      <c r="L33" s="14">
        <f>SUM(L30:L32)</f>
        <v>483300</v>
      </c>
      <c r="O33" s="222"/>
    </row>
    <row r="34" spans="1:22" ht="9.75" customHeight="1" thickTop="1" x14ac:dyDescent="0.25">
      <c r="P34" s="299"/>
      <c r="Q34" s="299"/>
      <c r="R34" s="299"/>
    </row>
    <row r="35" spans="1:22" ht="15.75" customHeight="1" x14ac:dyDescent="0.25">
      <c r="A35" s="10" t="s">
        <v>356</v>
      </c>
      <c r="B35" s="3" t="str">
        <f>CONCATENATE("Total Period Cost  = ",)</f>
        <v xml:space="preserve">Total Period Cost  = </v>
      </c>
      <c r="F35" s="3" t="str">
        <f>CONCATENATE(TEXT(P35,"$#,##0"),Q35,TEXT(R35,"$#,##0"),S35,TEXT(T35,"$#,##0"))</f>
        <v>$129,000 + $215,000 = $344,000</v>
      </c>
      <c r="P35" s="301">
        <f>J27</f>
        <v>129000</v>
      </c>
      <c r="Q35" s="301" t="s">
        <v>467</v>
      </c>
      <c r="R35" s="301">
        <f>L27</f>
        <v>215000</v>
      </c>
      <c r="S35" s="301" t="s">
        <v>468</v>
      </c>
      <c r="T35" s="301">
        <f>SUM(P35+R35)</f>
        <v>344000</v>
      </c>
      <c r="U35" s="45"/>
      <c r="V35" s="221"/>
    </row>
    <row r="36" spans="1:22" ht="9.75" customHeight="1" x14ac:dyDescent="0.25">
      <c r="V36" s="221"/>
    </row>
    <row r="37" spans="1:22" ht="15" customHeight="1" x14ac:dyDescent="0.25">
      <c r="A37" s="259" t="s">
        <v>357</v>
      </c>
      <c r="B37" s="260" t="s">
        <v>517</v>
      </c>
      <c r="C37" s="260"/>
      <c r="D37" s="260"/>
      <c r="E37" s="261">
        <f>P38</f>
        <v>483300</v>
      </c>
      <c r="F37" s="261"/>
      <c r="G37" s="262" t="str">
        <f>CONCATENATE("= ",TEXT(T38,"$#,##0.00"),)</f>
        <v>= $16.11</v>
      </c>
      <c r="V37" s="221"/>
    </row>
    <row r="38" spans="1:22" ht="15" customHeight="1" x14ac:dyDescent="0.25">
      <c r="A38" s="259"/>
      <c r="B38" s="260"/>
      <c r="C38" s="260"/>
      <c r="D38" s="260"/>
      <c r="E38" s="252" t="str">
        <f>CONCATENATE(TEXT(R38,"#,##0")," units")</f>
        <v>30,000 units</v>
      </c>
      <c r="F38" s="252"/>
      <c r="G38" s="262"/>
      <c r="H38" s="22"/>
      <c r="I38" s="22"/>
      <c r="P38" s="301">
        <f>L33</f>
        <v>483300</v>
      </c>
      <c r="Q38" s="301" t="s">
        <v>471</v>
      </c>
      <c r="R38" s="301">
        <v>30000</v>
      </c>
      <c r="S38" s="301" t="s">
        <v>468</v>
      </c>
      <c r="T38" s="304">
        <f>SUM(P38/R38)</f>
        <v>16.11</v>
      </c>
      <c r="V38" s="221"/>
    </row>
    <row r="39" spans="1:22" ht="9.75" customHeight="1" x14ac:dyDescent="0.25"/>
    <row r="40" spans="1:22" ht="15" customHeight="1" x14ac:dyDescent="0.25"/>
    <row r="41" spans="1:22" ht="15" customHeight="1" x14ac:dyDescent="0.25"/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/>
    <row r="46" spans="1:22" ht="15" customHeight="1" x14ac:dyDescent="0.25"/>
    <row r="47" spans="1:22" ht="15" customHeight="1" x14ac:dyDescent="0.25"/>
    <row r="48" spans="1:2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customSheetViews>
    <customSheetView guid="{C95BCE97-951E-4C98-84AE-A423A99BB34B}" showPageBreaks="1" fitToPage="1" printArea="1">
      <selection activeCell="J34" sqref="J34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E30" sqref="E30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29">
      <pageMargins left="1" right="0.5" top="0.85" bottom="0.8" header="0.5" footer="0.35"/>
      <pageSetup scale="94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25">
    <mergeCell ref="P34:R34"/>
    <mergeCell ref="P21:S21"/>
    <mergeCell ref="P22:S22"/>
    <mergeCell ref="P23:S23"/>
    <mergeCell ref="P10:S10"/>
    <mergeCell ref="P11:S11"/>
    <mergeCell ref="P12:S12"/>
    <mergeCell ref="P13:S13"/>
    <mergeCell ref="P14:S14"/>
    <mergeCell ref="P15:S15"/>
    <mergeCell ref="P16:S16"/>
    <mergeCell ref="P17:S17"/>
    <mergeCell ref="P18:S18"/>
    <mergeCell ref="P19:S19"/>
    <mergeCell ref="P20:S20"/>
    <mergeCell ref="K6:L6"/>
    <mergeCell ref="B6:D6"/>
    <mergeCell ref="F4:H4"/>
    <mergeCell ref="J4:L4"/>
    <mergeCell ref="A37:A38"/>
    <mergeCell ref="B37:D38"/>
    <mergeCell ref="E37:F37"/>
    <mergeCell ref="E38:F38"/>
    <mergeCell ref="G37:G38"/>
    <mergeCell ref="K5:L5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2"/>
  <sheetViews>
    <sheetView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7.85546875" style="3" customWidth="1"/>
    <col min="5" max="5" width="13.42578125" style="3" customWidth="1"/>
    <col min="6" max="6" width="2.7109375" style="3" customWidth="1"/>
    <col min="7" max="7" width="15" style="3" customWidth="1"/>
    <col min="8" max="8" width="7" style="3" customWidth="1"/>
    <col min="9" max="9" width="11" style="3" customWidth="1"/>
    <col min="10" max="10" width="2" style="3" customWidth="1"/>
    <col min="11" max="11" width="11.85546875" style="3" customWidth="1"/>
    <col min="12" max="12" width="2" style="3" customWidth="1"/>
    <col min="13" max="13" width="11.28515625" style="3" customWidth="1"/>
    <col min="14" max="14" width="12.28515625" style="3" customWidth="1"/>
    <col min="15" max="15" width="0" style="297" hidden="1" customWidth="1"/>
    <col min="16" max="16" width="2.7109375" style="297" hidden="1" customWidth="1"/>
    <col min="17" max="17" width="0" style="297" hidden="1" customWidth="1"/>
    <col min="18" max="18" width="2.7109375" style="297" hidden="1" customWidth="1"/>
    <col min="19" max="19" width="0" style="297" hidden="1" customWidth="1"/>
    <col min="20" max="20" width="2.7109375" style="3" customWidth="1"/>
    <col min="21" max="21" width="9.140625" style="3"/>
    <col min="22" max="22" width="2.7109375" style="3" customWidth="1"/>
    <col min="23" max="23" width="9.140625" style="3"/>
    <col min="24" max="24" width="2.7109375" style="3" customWidth="1"/>
    <col min="25" max="16384" width="9.140625" style="3"/>
  </cols>
  <sheetData>
    <row r="1" spans="2:13" ht="30" customHeight="1" x14ac:dyDescent="0.25"/>
    <row r="2" spans="2:13" ht="15.75" customHeight="1" x14ac:dyDescent="0.25">
      <c r="B2" s="3" t="s">
        <v>105</v>
      </c>
    </row>
    <row r="3" spans="2:13" ht="5.0999999999999996" customHeight="1" thickBot="1" x14ac:dyDescent="0.3"/>
    <row r="4" spans="2:13" ht="15.75" customHeight="1" x14ac:dyDescent="0.25">
      <c r="C4" s="28"/>
      <c r="D4" s="28"/>
      <c r="E4" s="28"/>
      <c r="F4" s="28"/>
      <c r="G4" s="28"/>
      <c r="H4" s="28"/>
      <c r="I4" s="16" t="s">
        <v>239</v>
      </c>
      <c r="J4" s="16"/>
      <c r="K4" s="16" t="s">
        <v>239</v>
      </c>
      <c r="L4" s="16"/>
      <c r="M4" s="16" t="s">
        <v>320</v>
      </c>
    </row>
    <row r="5" spans="2:13" ht="15.75" customHeight="1" thickBot="1" x14ac:dyDescent="0.3">
      <c r="C5" s="250" t="s">
        <v>332</v>
      </c>
      <c r="D5" s="250"/>
      <c r="E5" s="250"/>
      <c r="F5" s="250"/>
      <c r="G5" s="250"/>
      <c r="H5" s="250"/>
      <c r="I5" s="17" t="s">
        <v>318</v>
      </c>
      <c r="J5" s="17"/>
      <c r="K5" s="17" t="s">
        <v>319</v>
      </c>
      <c r="L5" s="17"/>
      <c r="M5" s="17" t="s">
        <v>321</v>
      </c>
    </row>
    <row r="6" spans="2:13" ht="5.0999999999999996" customHeight="1" x14ac:dyDescent="0.25"/>
    <row r="7" spans="2:13" ht="15.75" customHeight="1" x14ac:dyDescent="0.25">
      <c r="C7" s="3" t="s">
        <v>658</v>
      </c>
      <c r="I7" s="4" t="s">
        <v>241</v>
      </c>
      <c r="J7" s="4"/>
    </row>
    <row r="8" spans="2:13" ht="15.75" customHeight="1" x14ac:dyDescent="0.25">
      <c r="C8" s="3" t="s">
        <v>659</v>
      </c>
      <c r="I8" s="4" t="s">
        <v>241</v>
      </c>
      <c r="J8" s="4"/>
    </row>
    <row r="9" spans="2:13" ht="15.75" customHeight="1" x14ac:dyDescent="0.25">
      <c r="C9" s="3" t="s">
        <v>660</v>
      </c>
      <c r="I9" s="4" t="s">
        <v>241</v>
      </c>
      <c r="J9" s="4"/>
    </row>
    <row r="10" spans="2:13" ht="15.75" customHeight="1" x14ac:dyDescent="0.25">
      <c r="C10" s="3" t="s">
        <v>661</v>
      </c>
      <c r="I10" s="4" t="s">
        <v>241</v>
      </c>
      <c r="J10" s="4"/>
    </row>
    <row r="11" spans="2:13" ht="15.75" customHeight="1" x14ac:dyDescent="0.25">
      <c r="C11" s="3" t="s">
        <v>662</v>
      </c>
      <c r="I11" s="4" t="s">
        <v>241</v>
      </c>
      <c r="J11" s="4"/>
    </row>
    <row r="12" spans="2:13" ht="15.75" customHeight="1" x14ac:dyDescent="0.25">
      <c r="C12" s="3" t="s">
        <v>663</v>
      </c>
      <c r="I12" s="3" t="s">
        <v>380</v>
      </c>
      <c r="M12" s="4" t="s">
        <v>241</v>
      </c>
    </row>
    <row r="13" spans="2:13" ht="15.75" customHeight="1" x14ac:dyDescent="0.25">
      <c r="C13" s="3" t="s">
        <v>664</v>
      </c>
      <c r="I13" s="3" t="s">
        <v>380</v>
      </c>
      <c r="K13" s="4" t="s">
        <v>241</v>
      </c>
      <c r="L13" s="4"/>
    </row>
    <row r="14" spans="2:13" ht="15.75" customHeight="1" x14ac:dyDescent="0.25">
      <c r="C14" s="3" t="s">
        <v>665</v>
      </c>
      <c r="I14" s="3" t="s">
        <v>380</v>
      </c>
      <c r="K14" s="4" t="s">
        <v>241</v>
      </c>
      <c r="L14" s="4"/>
    </row>
    <row r="15" spans="2:13" ht="15.75" customHeight="1" x14ac:dyDescent="0.25">
      <c r="C15" s="3" t="s">
        <v>666</v>
      </c>
      <c r="I15" s="3" t="s">
        <v>380</v>
      </c>
      <c r="K15" s="4" t="s">
        <v>241</v>
      </c>
      <c r="L15" s="4"/>
    </row>
    <row r="16" spans="2:13" ht="15.75" customHeight="1" x14ac:dyDescent="0.25">
      <c r="C16" s="3" t="s">
        <v>667</v>
      </c>
      <c r="I16" s="3" t="s">
        <v>380</v>
      </c>
      <c r="M16" s="4" t="s">
        <v>241</v>
      </c>
    </row>
    <row r="17" spans="2:19" ht="15.75" customHeight="1" x14ac:dyDescent="0.25">
      <c r="C17" s="3" t="s">
        <v>668</v>
      </c>
      <c r="I17" s="3" t="s">
        <v>380</v>
      </c>
      <c r="M17" s="4" t="s">
        <v>241</v>
      </c>
    </row>
    <row r="18" spans="2:19" ht="15.75" customHeight="1" x14ac:dyDescent="0.25">
      <c r="C18" s="3" t="s">
        <v>669</v>
      </c>
      <c r="I18" s="3" t="s">
        <v>380</v>
      </c>
      <c r="M18" s="4" t="s">
        <v>241</v>
      </c>
    </row>
    <row r="19" spans="2:19" ht="15.75" customHeight="1" x14ac:dyDescent="0.25">
      <c r="C19" s="3" t="s">
        <v>670</v>
      </c>
      <c r="I19" s="3" t="s">
        <v>380</v>
      </c>
      <c r="M19" s="4" t="s">
        <v>241</v>
      </c>
    </row>
    <row r="20" spans="2:19" ht="15.75" customHeight="1" x14ac:dyDescent="0.25">
      <c r="C20" s="3" t="s">
        <v>521</v>
      </c>
      <c r="I20" s="3" t="s">
        <v>380</v>
      </c>
      <c r="M20" s="4" t="s">
        <v>241</v>
      </c>
    </row>
    <row r="21" spans="2:19" ht="15.75" customHeight="1" x14ac:dyDescent="0.25">
      <c r="C21" s="3" t="s">
        <v>671</v>
      </c>
      <c r="I21" s="3" t="s">
        <v>380</v>
      </c>
      <c r="M21" s="4" t="s">
        <v>241</v>
      </c>
    </row>
    <row r="22" spans="2:19" ht="15.75" customHeight="1" x14ac:dyDescent="0.25">
      <c r="C22" s="3" t="s">
        <v>672</v>
      </c>
      <c r="I22" s="3" t="s">
        <v>380</v>
      </c>
      <c r="M22" s="4" t="s">
        <v>241</v>
      </c>
    </row>
    <row r="23" spans="2:19" ht="15.75" customHeight="1" x14ac:dyDescent="0.25">
      <c r="C23" s="3" t="s">
        <v>673</v>
      </c>
      <c r="I23" s="3" t="s">
        <v>380</v>
      </c>
      <c r="M23" s="4" t="s">
        <v>241</v>
      </c>
    </row>
    <row r="24" spans="2:19" ht="15.75" customHeight="1" x14ac:dyDescent="0.25">
      <c r="C24" s="6" t="s">
        <v>674</v>
      </c>
      <c r="D24" s="6"/>
      <c r="E24" s="6"/>
      <c r="F24" s="6"/>
      <c r="G24" s="6"/>
      <c r="H24" s="6"/>
      <c r="I24" s="6" t="s">
        <v>380</v>
      </c>
      <c r="J24" s="6"/>
      <c r="K24" s="6"/>
      <c r="L24" s="6"/>
      <c r="M24" s="41" t="s">
        <v>241</v>
      </c>
    </row>
    <row r="25" spans="2:19" ht="9.75" customHeight="1" thickBot="1" x14ac:dyDescent="0.3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9" ht="15.75" customHeight="1" x14ac:dyDescent="0.25">
      <c r="N26" s="6"/>
    </row>
    <row r="27" spans="2:19" ht="15.75" customHeight="1" x14ac:dyDescent="0.25">
      <c r="B27" s="3" t="s">
        <v>106</v>
      </c>
      <c r="N27" s="6"/>
    </row>
    <row r="28" spans="2:19" ht="15.75" customHeight="1" x14ac:dyDescent="0.25">
      <c r="B28" s="10" t="s">
        <v>354</v>
      </c>
      <c r="C28" s="3" t="s">
        <v>189</v>
      </c>
      <c r="J28" s="3" t="s">
        <v>380</v>
      </c>
      <c r="K28" s="228">
        <f>Q28</f>
        <v>400000</v>
      </c>
      <c r="L28" s="5"/>
      <c r="N28" s="6"/>
      <c r="O28" s="316" t="s">
        <v>732</v>
      </c>
      <c r="P28" s="316"/>
      <c r="Q28" s="305">
        <v>400000</v>
      </c>
    </row>
    <row r="29" spans="2:19" ht="15.75" customHeight="1" x14ac:dyDescent="0.25">
      <c r="C29" s="3" t="s">
        <v>190</v>
      </c>
      <c r="J29" s="3" t="s">
        <v>380</v>
      </c>
      <c r="K29" s="13">
        <f>Q29</f>
        <v>80000</v>
      </c>
      <c r="L29" s="13"/>
      <c r="N29" s="6"/>
      <c r="O29" s="316" t="s">
        <v>733</v>
      </c>
      <c r="P29" s="316"/>
      <c r="Q29" s="306">
        <v>80000</v>
      </c>
      <c r="S29" s="301"/>
    </row>
    <row r="30" spans="2:19" ht="15.75" customHeight="1" x14ac:dyDescent="0.25">
      <c r="C30" s="3" t="s">
        <v>191</v>
      </c>
      <c r="J30" s="3" t="s">
        <v>380</v>
      </c>
      <c r="K30" s="13">
        <f>Q30</f>
        <v>320000</v>
      </c>
      <c r="L30" s="13"/>
      <c r="N30" s="6"/>
      <c r="O30" s="316" t="s">
        <v>734</v>
      </c>
      <c r="P30" s="316"/>
      <c r="Q30" s="306">
        <v>320000</v>
      </c>
      <c r="S30" s="301"/>
    </row>
    <row r="31" spans="2:19" ht="15.75" customHeight="1" thickBot="1" x14ac:dyDescent="0.3">
      <c r="C31" s="104" t="s">
        <v>192</v>
      </c>
      <c r="J31" s="3" t="s">
        <v>380</v>
      </c>
      <c r="K31" s="14">
        <f>SUM(K28:K30)</f>
        <v>800000</v>
      </c>
      <c r="L31" s="9"/>
      <c r="N31" s="6"/>
      <c r="S31" s="301"/>
    </row>
    <row r="32" spans="2:19" ht="9.75" customHeight="1" thickTop="1" x14ac:dyDescent="0.25">
      <c r="N32" s="6"/>
      <c r="S32" s="301"/>
    </row>
    <row r="33" spans="2:19" ht="15.75" customHeight="1" x14ac:dyDescent="0.25">
      <c r="B33" s="10" t="s">
        <v>355</v>
      </c>
      <c r="C33" s="264" t="s">
        <v>518</v>
      </c>
      <c r="D33" s="264"/>
      <c r="E33" s="264"/>
      <c r="F33" s="268" t="s">
        <v>345</v>
      </c>
      <c r="G33" s="266" t="s">
        <v>519</v>
      </c>
      <c r="H33" s="266"/>
      <c r="I33" s="41"/>
      <c r="J33" s="41"/>
      <c r="K33" s="54"/>
      <c r="L33" s="54"/>
      <c r="N33" s="6"/>
      <c r="S33" s="301"/>
    </row>
    <row r="34" spans="2:19" ht="15.75" customHeight="1" x14ac:dyDescent="0.25">
      <c r="B34" s="10"/>
      <c r="C34" s="264"/>
      <c r="D34" s="264"/>
      <c r="E34" s="264"/>
      <c r="F34" s="268"/>
      <c r="G34" s="267" t="s">
        <v>520</v>
      </c>
      <c r="H34" s="267"/>
      <c r="I34" s="41"/>
      <c r="J34" s="41"/>
      <c r="N34" s="6"/>
      <c r="O34" s="300"/>
      <c r="Q34" s="302"/>
      <c r="S34" s="300"/>
    </row>
    <row r="35" spans="2:19" ht="5.0999999999999996" customHeight="1" x14ac:dyDescent="0.25">
      <c r="B35" s="10"/>
      <c r="F35" s="42"/>
      <c r="G35" s="41"/>
      <c r="H35" s="41"/>
      <c r="I35" s="41"/>
      <c r="J35" s="41"/>
      <c r="N35" s="6"/>
    </row>
    <row r="36" spans="2:19" ht="15.75" customHeight="1" x14ac:dyDescent="0.25">
      <c r="B36" s="10"/>
      <c r="F36" s="264" t="s">
        <v>345</v>
      </c>
      <c r="G36" s="86">
        <f>K31</f>
        <v>800000</v>
      </c>
      <c r="H36" s="265" t="str">
        <f>CONCATENATE("= ",TEXT(S36,"$#,##0.00"),)</f>
        <v>= $200.00</v>
      </c>
      <c r="I36" s="265"/>
      <c r="N36" s="6"/>
      <c r="O36" s="301">
        <f>K31</f>
        <v>800000</v>
      </c>
      <c r="P36" s="301" t="s">
        <v>471</v>
      </c>
      <c r="Q36" s="301">
        <v>4000</v>
      </c>
      <c r="R36" s="301" t="s">
        <v>468</v>
      </c>
      <c r="S36" s="301">
        <f>SUM(O36/Q36)</f>
        <v>200</v>
      </c>
    </row>
    <row r="37" spans="2:19" ht="15.75" customHeight="1" x14ac:dyDescent="0.25">
      <c r="F37" s="264"/>
      <c r="G37" s="4" t="str">
        <f>CONCATENATE(TEXT(Q36,"#,##0")," units")</f>
        <v>4,000 units</v>
      </c>
      <c r="H37" s="265"/>
      <c r="I37" s="265"/>
      <c r="J37" s="11"/>
    </row>
    <row r="38" spans="2:19" ht="5.0999999999999996" customHeight="1" x14ac:dyDescent="0.25">
      <c r="F38" s="42"/>
      <c r="I38" s="11"/>
      <c r="J38" s="11"/>
      <c r="N38" s="6"/>
    </row>
    <row r="39" spans="2:19" ht="15.75" customHeight="1" x14ac:dyDescent="0.25">
      <c r="N39" s="6"/>
    </row>
    <row r="40" spans="2:19" ht="15.75" customHeight="1" x14ac:dyDescent="0.25"/>
    <row r="41" spans="2:19" ht="15" customHeight="1" x14ac:dyDescent="0.25"/>
    <row r="42" spans="2:19" ht="15" customHeight="1" x14ac:dyDescent="0.25"/>
    <row r="43" spans="2:19" ht="15" customHeight="1" x14ac:dyDescent="0.25"/>
    <row r="44" spans="2:19" ht="15" customHeight="1" x14ac:dyDescent="0.25"/>
    <row r="45" spans="2:19" ht="15" customHeight="1" x14ac:dyDescent="0.25"/>
    <row r="46" spans="2:19" ht="15" customHeight="1" x14ac:dyDescent="0.25"/>
    <row r="47" spans="2:19" ht="15" customHeight="1" x14ac:dyDescent="0.25"/>
    <row r="48" spans="2:1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</sheetData>
  <customSheetViews>
    <customSheetView guid="{C95BCE97-951E-4C98-84AE-A423A99BB34B}" showPageBreaks="1" fitToPage="1" printArea="1">
      <selection activeCell="O24" sqref="O24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 topLeftCell="A19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J14" sqref="J14"/>
      <pageMargins left="0.5" right="1" top="0.85" bottom="0.8" header="0.5" footer="0.35"/>
      <printOptions horizontalCentered="1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19">
      <selection activeCell="I42" sqref="I42"/>
      <pageMargins left="0.5" right="1" top="0.85" bottom="0.8" header="0.5" footer="0.35"/>
      <pageSetup scale="91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0">
    <mergeCell ref="C5:H5"/>
    <mergeCell ref="G33:H33"/>
    <mergeCell ref="G34:H34"/>
    <mergeCell ref="F33:F34"/>
    <mergeCell ref="C33:E34"/>
    <mergeCell ref="O28:P28"/>
    <mergeCell ref="O29:P29"/>
    <mergeCell ref="O30:P30"/>
    <mergeCell ref="F36:F37"/>
    <mergeCell ref="H36:I37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9"/>
  <sheetViews>
    <sheetView showGridLines="0" zoomScale="70" zoomScaleNormal="70" workbookViewId="0"/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9.140625" style="3"/>
    <col min="5" max="5" width="12.42578125" style="3" customWidth="1"/>
    <col min="6" max="7" width="3.7109375" style="3" customWidth="1"/>
    <col min="8" max="8" width="12.42578125" style="3" customWidth="1"/>
    <col min="9" max="9" width="3.7109375" style="3" customWidth="1"/>
    <col min="10" max="10" width="16.85546875" style="3" customWidth="1"/>
    <col min="11" max="11" width="8" style="3" customWidth="1"/>
    <col min="12" max="12" width="1.7109375" style="3" customWidth="1"/>
    <col min="13" max="13" width="12.7109375" style="3" customWidth="1"/>
    <col min="14" max="14" width="13.140625" style="3" customWidth="1"/>
    <col min="15" max="15" width="2.42578125" style="3" customWidth="1"/>
    <col min="16" max="16" width="2.7109375" style="3" customWidth="1"/>
    <col min="17" max="17" width="9.85546875" style="297" hidden="1" customWidth="1"/>
    <col min="18" max="18" width="2.7109375" style="297" hidden="1" customWidth="1"/>
    <col min="19" max="19" width="9.28515625" style="297" hidden="1" customWidth="1"/>
    <col min="20" max="20" width="2.7109375" style="297" hidden="1" customWidth="1"/>
    <col min="21" max="21" width="8.7109375" style="297" hidden="1" customWidth="1"/>
    <col min="22" max="22" width="2.7109375" style="3" customWidth="1"/>
    <col min="23" max="23" width="9.140625" style="3"/>
    <col min="24" max="24" width="14" style="3" bestFit="1" customWidth="1"/>
    <col min="25" max="16384" width="9.140625" style="3"/>
  </cols>
  <sheetData>
    <row r="1" spans="2:24" ht="27.75" customHeight="1" x14ac:dyDescent="0.25">
      <c r="V1" s="6"/>
      <c r="W1" s="6"/>
      <c r="X1" s="6"/>
    </row>
    <row r="2" spans="2:24" ht="15.75" customHeight="1" x14ac:dyDescent="0.25">
      <c r="B2" s="3" t="s">
        <v>107</v>
      </c>
      <c r="V2" s="6"/>
      <c r="W2" s="6"/>
      <c r="X2" s="6"/>
    </row>
    <row r="3" spans="2:24" ht="15.75" customHeight="1" x14ac:dyDescent="0.25">
      <c r="B3" s="10" t="s">
        <v>354</v>
      </c>
      <c r="C3" s="3" t="s">
        <v>688</v>
      </c>
      <c r="L3" s="3" t="s">
        <v>380</v>
      </c>
      <c r="M3" s="228">
        <f>S3</f>
        <v>400000</v>
      </c>
      <c r="O3" s="221"/>
      <c r="Q3" s="316" t="s">
        <v>732</v>
      </c>
      <c r="R3" s="316"/>
      <c r="S3" s="305">
        <v>400000</v>
      </c>
      <c r="T3" s="298"/>
      <c r="V3" s="6"/>
      <c r="W3" s="6"/>
      <c r="X3" s="6"/>
    </row>
    <row r="4" spans="2:24" ht="15.75" customHeight="1" x14ac:dyDescent="0.25">
      <c r="C4" s="3" t="s">
        <v>498</v>
      </c>
      <c r="L4" s="3" t="s">
        <v>380</v>
      </c>
      <c r="M4" s="13">
        <f>S4</f>
        <v>80000</v>
      </c>
      <c r="O4" s="221"/>
      <c r="Q4" s="316" t="s">
        <v>733</v>
      </c>
      <c r="R4" s="316"/>
      <c r="S4" s="306">
        <v>80000</v>
      </c>
      <c r="U4" s="301"/>
      <c r="V4" s="102"/>
      <c r="W4" s="6"/>
      <c r="X4" s="6"/>
    </row>
    <row r="5" spans="2:24" ht="15.75" customHeight="1" thickBot="1" x14ac:dyDescent="0.3">
      <c r="C5" s="3" t="s">
        <v>689</v>
      </c>
      <c r="L5" s="3" t="s">
        <v>380</v>
      </c>
      <c r="M5" s="14">
        <f>SUM(M3:M4)</f>
        <v>480000</v>
      </c>
      <c r="O5" s="221"/>
      <c r="Q5" s="316" t="s">
        <v>734</v>
      </c>
      <c r="R5" s="316"/>
      <c r="S5" s="306">
        <v>320000</v>
      </c>
      <c r="U5" s="301"/>
      <c r="V5" s="102"/>
      <c r="W5" s="6"/>
      <c r="X5" s="6"/>
    </row>
    <row r="6" spans="2:24" ht="3.75" customHeight="1" thickTop="1" x14ac:dyDescent="0.25">
      <c r="U6" s="301"/>
      <c r="V6" s="102"/>
      <c r="W6" s="6"/>
      <c r="X6" s="6"/>
    </row>
    <row r="7" spans="2:24" ht="15.75" customHeight="1" x14ac:dyDescent="0.25">
      <c r="B7" s="259" t="s">
        <v>355</v>
      </c>
      <c r="C7" s="260" t="s">
        <v>522</v>
      </c>
      <c r="D7" s="260"/>
      <c r="E7" s="260"/>
      <c r="F7" s="268" t="s">
        <v>345</v>
      </c>
      <c r="G7" s="266" t="s">
        <v>523</v>
      </c>
      <c r="H7" s="266"/>
      <c r="I7" s="266"/>
      <c r="J7" s="266"/>
      <c r="K7" s="41"/>
      <c r="L7" s="41"/>
      <c r="U7" s="301"/>
      <c r="V7" s="102"/>
      <c r="W7" s="6"/>
      <c r="X7" s="6"/>
    </row>
    <row r="8" spans="2:24" ht="15.75" customHeight="1" x14ac:dyDescent="0.25">
      <c r="B8" s="259"/>
      <c r="C8" s="260"/>
      <c r="D8" s="260"/>
      <c r="E8" s="260"/>
      <c r="F8" s="268"/>
      <c r="G8" s="252" t="s">
        <v>520</v>
      </c>
      <c r="H8" s="252"/>
      <c r="I8" s="252"/>
      <c r="J8" s="252"/>
      <c r="K8" s="4"/>
      <c r="L8" s="4"/>
      <c r="U8" s="301"/>
      <c r="V8" s="6"/>
      <c r="W8" s="6"/>
      <c r="X8" s="6"/>
    </row>
    <row r="9" spans="2:24" ht="5.0999999999999996" customHeight="1" x14ac:dyDescent="0.25">
      <c r="G9" s="4"/>
      <c r="H9" s="4"/>
      <c r="I9" s="4"/>
      <c r="J9" s="4"/>
      <c r="K9" s="4"/>
      <c r="L9" s="4"/>
      <c r="V9" s="6"/>
      <c r="W9" s="6"/>
      <c r="X9" s="6"/>
    </row>
    <row r="10" spans="2:24" ht="15.75" customHeight="1" x14ac:dyDescent="0.25">
      <c r="F10" s="268" t="s">
        <v>345</v>
      </c>
      <c r="G10" s="261">
        <f>Q10</f>
        <v>480000</v>
      </c>
      <c r="H10" s="270"/>
      <c r="I10" s="125"/>
      <c r="M10" s="11"/>
      <c r="Q10" s="301">
        <f>M5</f>
        <v>480000</v>
      </c>
      <c r="R10" s="301" t="s">
        <v>471</v>
      </c>
      <c r="S10" s="301">
        <v>4000</v>
      </c>
      <c r="T10" s="301" t="s">
        <v>468</v>
      </c>
      <c r="U10" s="301">
        <f>SUM(Q10/S10)</f>
        <v>120</v>
      </c>
      <c r="V10" s="102"/>
      <c r="W10" s="6"/>
      <c r="X10" s="6"/>
    </row>
    <row r="11" spans="2:24" ht="15.75" customHeight="1" x14ac:dyDescent="0.25">
      <c r="F11" s="268"/>
      <c r="G11" s="267" t="str">
        <f>CONCATENATE(TEXT(S10,"#,##0")," units")</f>
        <v>4,000 units</v>
      </c>
      <c r="H11" s="267"/>
      <c r="I11" s="41"/>
      <c r="M11" s="11"/>
      <c r="V11" s="6"/>
      <c r="W11" s="6"/>
      <c r="X11" s="6"/>
    </row>
    <row r="12" spans="2:24" ht="18" customHeight="1" x14ac:dyDescent="0.25">
      <c r="F12" s="42" t="s">
        <v>345</v>
      </c>
      <c r="G12" s="269">
        <f>U10</f>
        <v>120</v>
      </c>
      <c r="H12" s="269"/>
      <c r="I12" s="58"/>
      <c r="M12" s="11"/>
      <c r="V12" s="6"/>
      <c r="W12" s="6"/>
      <c r="X12" s="6"/>
    </row>
    <row r="13" spans="2:24" ht="3.75" customHeight="1" x14ac:dyDescent="0.25">
      <c r="V13" s="6"/>
      <c r="W13" s="6"/>
      <c r="X13" s="6"/>
    </row>
    <row r="14" spans="2:24" ht="15.75" customHeight="1" x14ac:dyDescent="0.25">
      <c r="B14" s="10" t="s">
        <v>356</v>
      </c>
      <c r="C14" s="3" t="s">
        <v>690</v>
      </c>
      <c r="L14" s="3" t="s">
        <v>380</v>
      </c>
      <c r="M14" s="70">
        <f>S4</f>
        <v>80000</v>
      </c>
      <c r="V14" s="6"/>
      <c r="W14" s="6"/>
      <c r="X14" s="6"/>
    </row>
    <row r="15" spans="2:24" ht="15.75" customHeight="1" x14ac:dyDescent="0.25">
      <c r="C15" s="3" t="s">
        <v>691</v>
      </c>
      <c r="L15" s="3" t="s">
        <v>380</v>
      </c>
      <c r="M15" s="13">
        <f>S5</f>
        <v>320000</v>
      </c>
      <c r="V15" s="6"/>
      <c r="W15" s="6"/>
      <c r="X15" s="6"/>
    </row>
    <row r="16" spans="2:24" ht="15.75" customHeight="1" thickBot="1" x14ac:dyDescent="0.3">
      <c r="C16" s="104" t="s">
        <v>692</v>
      </c>
      <c r="L16" s="3" t="s">
        <v>380</v>
      </c>
      <c r="M16" s="14">
        <f>SUM(M14:M15)</f>
        <v>400000</v>
      </c>
      <c r="V16" s="6"/>
      <c r="W16" s="6"/>
      <c r="X16" s="6"/>
    </row>
    <row r="17" spans="2:24" ht="6" customHeight="1" thickTop="1" x14ac:dyDescent="0.25">
      <c r="V17" s="6"/>
      <c r="W17" s="6"/>
      <c r="X17" s="6"/>
    </row>
    <row r="18" spans="2:24" ht="15.75" customHeight="1" x14ac:dyDescent="0.25">
      <c r="B18" s="259" t="s">
        <v>357</v>
      </c>
      <c r="C18" s="264" t="s">
        <v>524</v>
      </c>
      <c r="D18" s="264"/>
      <c r="E18" s="264"/>
      <c r="F18" s="264"/>
      <c r="G18" s="268" t="s">
        <v>345</v>
      </c>
      <c r="H18" s="266" t="s">
        <v>525</v>
      </c>
      <c r="I18" s="266"/>
      <c r="J18" s="266"/>
      <c r="K18" s="41"/>
      <c r="L18" s="41"/>
      <c r="M18" s="41"/>
      <c r="N18" s="45"/>
      <c r="O18" s="45"/>
      <c r="P18" s="45"/>
      <c r="Q18" s="298"/>
      <c r="R18" s="298"/>
      <c r="S18" s="307"/>
      <c r="T18" s="298"/>
      <c r="U18" s="298"/>
      <c r="V18" s="6"/>
      <c r="W18" s="6"/>
      <c r="X18" s="6"/>
    </row>
    <row r="19" spans="2:24" ht="15.75" customHeight="1" x14ac:dyDescent="0.25">
      <c r="B19" s="259"/>
      <c r="C19" s="264"/>
      <c r="D19" s="264"/>
      <c r="E19" s="264"/>
      <c r="F19" s="264"/>
      <c r="G19" s="268"/>
      <c r="H19" s="267" t="s">
        <v>520</v>
      </c>
      <c r="I19" s="267"/>
      <c r="J19" s="267"/>
      <c r="K19" s="41"/>
      <c r="L19" s="41"/>
      <c r="M19" s="41"/>
      <c r="N19" s="41"/>
      <c r="O19" s="41"/>
      <c r="P19" s="41"/>
      <c r="Q19" s="299"/>
      <c r="R19" s="299"/>
      <c r="S19" s="299"/>
      <c r="T19" s="302"/>
      <c r="U19" s="302"/>
      <c r="V19" s="6"/>
      <c r="W19" s="6"/>
      <c r="X19" s="6"/>
    </row>
    <row r="20" spans="2:24" ht="5.0999999999999996" customHeight="1" x14ac:dyDescent="0.25">
      <c r="H20" s="41"/>
      <c r="I20" s="41"/>
      <c r="J20" s="41"/>
      <c r="K20" s="41"/>
      <c r="L20" s="41"/>
      <c r="M20" s="41"/>
      <c r="N20" s="41"/>
      <c r="O20" s="41"/>
      <c r="P20" s="41"/>
      <c r="R20" s="300"/>
      <c r="S20" s="300"/>
      <c r="T20" s="300"/>
      <c r="V20" s="6"/>
      <c r="W20" s="6"/>
      <c r="X20" s="6"/>
    </row>
    <row r="21" spans="2:24" ht="15.75" customHeight="1" x14ac:dyDescent="0.25">
      <c r="G21" s="268" t="s">
        <v>345</v>
      </c>
      <c r="H21" s="87">
        <f>Q21</f>
        <v>400000</v>
      </c>
      <c r="I21" s="9"/>
      <c r="Q21" s="301">
        <f>M16</f>
        <v>400000</v>
      </c>
      <c r="R21" s="301" t="s">
        <v>471</v>
      </c>
      <c r="S21" s="301">
        <f>S10</f>
        <v>4000</v>
      </c>
      <c r="T21" s="301" t="s">
        <v>468</v>
      </c>
      <c r="U21" s="301">
        <f>SUM(Q21/S21)</f>
        <v>100</v>
      </c>
      <c r="V21" s="6"/>
      <c r="W21" s="6"/>
      <c r="X21" s="6"/>
    </row>
    <row r="22" spans="2:24" ht="15.75" customHeight="1" x14ac:dyDescent="0.25">
      <c r="G22" s="268"/>
      <c r="H22" s="3" t="str">
        <f>CONCATENATE(TEXT(S21,"#,##0")," units")</f>
        <v>4,000 units</v>
      </c>
      <c r="V22" s="6"/>
      <c r="W22" s="6"/>
      <c r="X22" s="6"/>
    </row>
    <row r="23" spans="2:24" ht="5.0999999999999996" customHeight="1" x14ac:dyDescent="0.25">
      <c r="G23" s="42"/>
      <c r="V23" s="6"/>
      <c r="W23" s="6"/>
      <c r="X23" s="6"/>
    </row>
    <row r="24" spans="2:24" ht="15.75" customHeight="1" x14ac:dyDescent="0.25">
      <c r="G24" s="42" t="s">
        <v>345</v>
      </c>
      <c r="H24" s="157">
        <f>U21</f>
        <v>100</v>
      </c>
      <c r="I24" s="58"/>
      <c r="J24" s="54"/>
      <c r="K24" s="54"/>
      <c r="L24" s="54"/>
      <c r="V24" s="6"/>
      <c r="W24" s="6"/>
      <c r="X24" s="6"/>
    </row>
    <row r="25" spans="2:24" ht="8.25" customHeight="1" x14ac:dyDescent="0.25">
      <c r="N25" s="34"/>
      <c r="O25" s="34"/>
      <c r="P25" s="34"/>
      <c r="V25" s="6"/>
      <c r="W25" s="6"/>
      <c r="X25" s="6"/>
    </row>
    <row r="26" spans="2:24" ht="15.75" customHeight="1" x14ac:dyDescent="0.25">
      <c r="B26" s="3" t="s">
        <v>108</v>
      </c>
      <c r="Q26" s="302"/>
      <c r="V26" s="6"/>
      <c r="W26" s="6"/>
      <c r="X26" s="6"/>
    </row>
    <row r="27" spans="2:24" ht="15.75" customHeight="1" x14ac:dyDescent="0.25">
      <c r="B27" s="10" t="s">
        <v>354</v>
      </c>
      <c r="C27" s="3" t="str">
        <f>CONCATENATE("Materials inventory, ",Q27,"…………………………………………………………………………………………………………..")</f>
        <v>Materials inventory, June 1…………………………………………………………………………………………………………..</v>
      </c>
      <c r="L27" s="3" t="s">
        <v>380</v>
      </c>
      <c r="M27" s="74">
        <f>U28</f>
        <v>3700</v>
      </c>
      <c r="Q27" s="301" t="s">
        <v>455</v>
      </c>
      <c r="S27" s="316" t="s">
        <v>766</v>
      </c>
      <c r="T27" s="316"/>
      <c r="U27" s="305">
        <v>15500</v>
      </c>
      <c r="V27" s="41"/>
      <c r="W27" s="41"/>
      <c r="X27" s="6"/>
    </row>
    <row r="28" spans="2:24" ht="15.75" customHeight="1" x14ac:dyDescent="0.25">
      <c r="C28" s="3" t="str">
        <f>CONCATENATE("Materials purchases in ",Q28,"…………………………………………………………………………………………………………..")</f>
        <v>Materials purchases in June…………………………………………………………………………………………………………..</v>
      </c>
      <c r="L28" s="3" t="s">
        <v>380</v>
      </c>
      <c r="M28" s="13">
        <f>U27</f>
        <v>15500</v>
      </c>
      <c r="Q28" s="301" t="s">
        <v>457</v>
      </c>
      <c r="S28" s="316" t="s">
        <v>768</v>
      </c>
      <c r="T28" s="316"/>
      <c r="U28" s="306">
        <v>3700</v>
      </c>
      <c r="X28" s="6"/>
    </row>
    <row r="29" spans="2:24" ht="15.75" customHeight="1" x14ac:dyDescent="0.25">
      <c r="C29" s="3" t="str">
        <f>CONCATENATE("Materials inventory, ",Q29,"…………………………………………………………………………………………………………..")</f>
        <v>Materials inventory, June 30…………………………………………………………………………………………………………..</v>
      </c>
      <c r="L29" s="3" t="s">
        <v>380</v>
      </c>
      <c r="M29" s="56">
        <f>U29</f>
        <v>-1600</v>
      </c>
      <c r="Q29" s="301" t="s">
        <v>456</v>
      </c>
      <c r="S29" s="316" t="s">
        <v>767</v>
      </c>
      <c r="T29" s="316"/>
      <c r="U29" s="306">
        <v>-1600</v>
      </c>
      <c r="X29" s="6"/>
    </row>
    <row r="30" spans="2:24" ht="15.75" customHeight="1" thickBot="1" x14ac:dyDescent="0.3">
      <c r="C30" s="104" t="str">
        <f>CONCATENATE("Direct materials used in ",Q28,"…………………………………………………………………………………………………………..")</f>
        <v>Direct materials used in June…………………………………………………………………………………………………………..</v>
      </c>
      <c r="L30" s="3" t="s">
        <v>380</v>
      </c>
      <c r="M30" s="14">
        <f>SUM(M27:M29)</f>
        <v>17600</v>
      </c>
      <c r="X30" s="6"/>
    </row>
    <row r="31" spans="2:24" ht="6" customHeight="1" thickTop="1" x14ac:dyDescent="0.25">
      <c r="J31" s="9"/>
      <c r="K31" s="9"/>
      <c r="L31" s="9"/>
      <c r="V31" s="6"/>
      <c r="W31" s="63"/>
      <c r="X31" s="6"/>
    </row>
    <row r="32" spans="2:24" ht="15.75" customHeight="1" x14ac:dyDescent="0.25">
      <c r="B32" s="10" t="s">
        <v>355</v>
      </c>
      <c r="C32" s="3" t="s">
        <v>693</v>
      </c>
    </row>
    <row r="33" spans="3:3" ht="15.75" customHeight="1" x14ac:dyDescent="0.25">
      <c r="C33" s="3" t="s">
        <v>694</v>
      </c>
    </row>
    <row r="34" spans="3:3" ht="15.75" customHeight="1" x14ac:dyDescent="0.25">
      <c r="C34" s="3" t="s">
        <v>695</v>
      </c>
    </row>
    <row r="35" spans="3:3" ht="15.75" customHeight="1" x14ac:dyDescent="0.25">
      <c r="C35" s="3" t="s">
        <v>696</v>
      </c>
    </row>
    <row r="36" spans="3:3" ht="15.75" customHeight="1" x14ac:dyDescent="0.25">
      <c r="C36" s="3" t="s">
        <v>697</v>
      </c>
    </row>
    <row r="37" spans="3:3" ht="15.75" customHeight="1" x14ac:dyDescent="0.25">
      <c r="C37" s="10" t="s">
        <v>698</v>
      </c>
    </row>
    <row r="38" spans="3:3" ht="15.75" customHeight="1" x14ac:dyDescent="0.25">
      <c r="C38" s="3" t="s">
        <v>699</v>
      </c>
    </row>
    <row r="39" spans="3:3" ht="15.75" customHeight="1" x14ac:dyDescent="0.25">
      <c r="C39" s="3" t="s">
        <v>700</v>
      </c>
    </row>
    <row r="40" spans="3:3" ht="15.75" customHeight="1" x14ac:dyDescent="0.25">
      <c r="C40" s="3" t="s">
        <v>701</v>
      </c>
    </row>
    <row r="41" spans="3:3" ht="15.75" customHeight="1" x14ac:dyDescent="0.25">
      <c r="C41" s="3" t="s">
        <v>702</v>
      </c>
    </row>
    <row r="42" spans="3:3" ht="15.75" customHeight="1" x14ac:dyDescent="0.25">
      <c r="C42" s="3" t="s">
        <v>703</v>
      </c>
    </row>
    <row r="43" spans="3:3" ht="15.75" customHeight="1" x14ac:dyDescent="0.25">
      <c r="C43" s="3" t="s">
        <v>528</v>
      </c>
    </row>
    <row r="44" spans="3:3" ht="15.75" customHeight="1" x14ac:dyDescent="0.25">
      <c r="C44" s="3" t="s">
        <v>529</v>
      </c>
    </row>
    <row r="45" spans="3:3" ht="15.75" customHeight="1" x14ac:dyDescent="0.25">
      <c r="C45" s="3" t="s">
        <v>530</v>
      </c>
    </row>
    <row r="46" spans="3:3" ht="15.75" customHeight="1" x14ac:dyDescent="0.25">
      <c r="C46" s="3" t="s">
        <v>531</v>
      </c>
    </row>
    <row r="47" spans="3:3" ht="15.75" customHeight="1" x14ac:dyDescent="0.25">
      <c r="C47" s="3" t="s">
        <v>311</v>
      </c>
    </row>
    <row r="48" spans="3:3" ht="15.75" customHeight="1" x14ac:dyDescent="0.25">
      <c r="C48" s="3" t="s">
        <v>310</v>
      </c>
    </row>
    <row r="49" spans="3:4" ht="15.75" customHeight="1" x14ac:dyDescent="0.25">
      <c r="C49" s="3" t="s">
        <v>532</v>
      </c>
    </row>
    <row r="50" spans="3:4" ht="15.75" customHeight="1" x14ac:dyDescent="0.25">
      <c r="C50" s="3" t="s">
        <v>534</v>
      </c>
    </row>
    <row r="51" spans="3:4" ht="15.75" customHeight="1" x14ac:dyDescent="0.25">
      <c r="C51" s="3" t="s">
        <v>533</v>
      </c>
      <c r="D51" s="66"/>
    </row>
    <row r="52" spans="3:4" ht="15.75" customHeight="1" x14ac:dyDescent="0.25"/>
    <row r="53" spans="3:4" ht="15.75" customHeight="1" x14ac:dyDescent="0.25"/>
    <row r="54" spans="3:4" ht="15" customHeight="1" x14ac:dyDescent="0.25"/>
    <row r="55" spans="3:4" ht="15" customHeight="1" x14ac:dyDescent="0.25"/>
    <row r="56" spans="3:4" ht="15" customHeight="1" x14ac:dyDescent="0.25"/>
    <row r="57" spans="3:4" ht="15" customHeight="1" x14ac:dyDescent="0.25"/>
    <row r="58" spans="3:4" ht="15" customHeight="1" x14ac:dyDescent="0.25"/>
    <row r="59" spans="3:4" ht="15" customHeight="1" x14ac:dyDescent="0.25"/>
    <row r="60" spans="3:4" ht="15" customHeight="1" x14ac:dyDescent="0.25"/>
    <row r="61" spans="3:4" ht="15" customHeight="1" x14ac:dyDescent="0.25"/>
    <row r="62" spans="3:4" ht="15" customHeight="1" x14ac:dyDescent="0.25"/>
    <row r="63" spans="3:4" ht="15" customHeight="1" x14ac:dyDescent="0.25"/>
    <row r="64" spans="3: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</sheetData>
  <customSheetViews>
    <customSheetView guid="{C95BCE97-951E-4C98-84AE-A423A99BB34B}" showPageBreaks="1" showGridLines="0" fitToPage="1" printArea="1">
      <selection activeCell="B29" sqref="B29"/>
      <pageMargins left="1" right="0.5" top="0.85" bottom="0.8" header="0.5" footer="0.35"/>
      <printOptions horizontalCentered="1"/>
      <pageSetup scale="94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howGridLines="0" fitToPage="1">
      <selection activeCell="H34" sqref="H34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28">
      <selection activeCell="S22" sqref="S22"/>
      <pageMargins left="1" right="0.5" top="0.85" bottom="0.8" header="0.5" footer="0.35"/>
      <pageSetup scale="94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22">
    <mergeCell ref="S29:T29"/>
    <mergeCell ref="Q19:S19"/>
    <mergeCell ref="Q3:R3"/>
    <mergeCell ref="Q4:R4"/>
    <mergeCell ref="Q5:R5"/>
    <mergeCell ref="S27:T27"/>
    <mergeCell ref="S28:T28"/>
    <mergeCell ref="F7:F8"/>
    <mergeCell ref="C7:E8"/>
    <mergeCell ref="B7:B8"/>
    <mergeCell ref="H18:J18"/>
    <mergeCell ref="H19:J19"/>
    <mergeCell ref="G7:J7"/>
    <mergeCell ref="G8:J8"/>
    <mergeCell ref="G12:H12"/>
    <mergeCell ref="G10:H10"/>
    <mergeCell ref="G11:H11"/>
    <mergeCell ref="G21:G22"/>
    <mergeCell ref="G18:G19"/>
    <mergeCell ref="C18:F19"/>
    <mergeCell ref="B18:B19"/>
    <mergeCell ref="F10:F11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94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140625" style="3" customWidth="1"/>
    <col min="3" max="3" width="3.7109375" style="3" customWidth="1"/>
    <col min="4" max="4" width="2.7109375" style="3" customWidth="1"/>
    <col min="5" max="8" width="9.140625" style="3"/>
    <col min="9" max="9" width="21.140625" style="3" customWidth="1"/>
    <col min="10" max="12" width="2.7109375" style="3" customWidth="1"/>
    <col min="13" max="13" width="14" style="3" customWidth="1"/>
    <col min="14" max="14" width="2.28515625" style="3" customWidth="1"/>
    <col min="15" max="15" width="9.140625" style="3"/>
    <col min="16" max="16" width="12.7109375" style="324" hidden="1" customWidth="1"/>
    <col min="17" max="17" width="3" style="324" hidden="1" customWidth="1"/>
    <col min="18" max="18" width="0" style="324" hidden="1" customWidth="1"/>
    <col min="19" max="19" width="3.140625" style="324" hidden="1" customWidth="1"/>
    <col min="20" max="20" width="10.85546875" style="324" hidden="1" customWidth="1"/>
    <col min="21" max="21" width="10.42578125" style="324" hidden="1" customWidth="1"/>
    <col min="22" max="16384" width="9.140625" style="3"/>
  </cols>
  <sheetData>
    <row r="1" spans="2:23" ht="30" customHeight="1" x14ac:dyDescent="0.25"/>
    <row r="2" spans="2:23" ht="15.75" customHeight="1" x14ac:dyDescent="0.25">
      <c r="B2" s="3" t="s">
        <v>109</v>
      </c>
    </row>
    <row r="3" spans="2:23" ht="15.75" customHeight="1" x14ac:dyDescent="0.25">
      <c r="B3" s="10" t="s">
        <v>354</v>
      </c>
      <c r="C3" s="3" t="str">
        <f>CONCATENATE("Finished goods inventory, ",P3,"…………………………………………………………………………………………………………………………..……………..")</f>
        <v>Finished goods inventory, January 1…………………………………………………………………………………………………………………………..……………..</v>
      </c>
      <c r="K3" s="3" t="s">
        <v>380</v>
      </c>
      <c r="M3" s="64">
        <f>T4</f>
        <v>6800</v>
      </c>
      <c r="P3" s="325" t="s">
        <v>458</v>
      </c>
      <c r="Q3" s="326"/>
      <c r="R3" s="327" t="s">
        <v>769</v>
      </c>
      <c r="S3" s="327"/>
      <c r="T3" s="328">
        <v>94000</v>
      </c>
      <c r="V3" s="6"/>
      <c r="W3" s="6"/>
    </row>
    <row r="4" spans="2:23" ht="15.75" customHeight="1" x14ac:dyDescent="0.25">
      <c r="C4" s="3" t="s">
        <v>182</v>
      </c>
      <c r="K4" s="3" t="s">
        <v>380</v>
      </c>
      <c r="M4" s="64">
        <f>T3</f>
        <v>94000</v>
      </c>
      <c r="Q4" s="326"/>
      <c r="R4" s="327" t="s">
        <v>768</v>
      </c>
      <c r="S4" s="327"/>
      <c r="T4" s="328">
        <v>6800</v>
      </c>
      <c r="V4" s="6"/>
      <c r="W4" s="6"/>
    </row>
    <row r="5" spans="2:23" ht="15.75" customHeight="1" x14ac:dyDescent="0.25">
      <c r="C5" s="3" t="str">
        <f>CONCATENATE("Finished goods inventory, ",P5,"……………………………………………………………………………………………………………………….…………………..")</f>
        <v>Finished goods inventory, December 31……………………………………………………………………………………………………………………….…………………..</v>
      </c>
      <c r="J5" s="6"/>
      <c r="K5" s="3" t="s">
        <v>380</v>
      </c>
      <c r="L5" s="67"/>
      <c r="M5" s="64">
        <f>T5</f>
        <v>-7200</v>
      </c>
      <c r="P5" s="325" t="s">
        <v>459</v>
      </c>
      <c r="Q5" s="326"/>
      <c r="R5" s="327" t="s">
        <v>767</v>
      </c>
      <c r="S5" s="327"/>
      <c r="T5" s="329">
        <v>-7200</v>
      </c>
      <c r="U5" s="330"/>
      <c r="V5" s="41"/>
      <c r="W5" s="6"/>
    </row>
    <row r="6" spans="2:23" ht="15.75" customHeight="1" thickBot="1" x14ac:dyDescent="0.3">
      <c r="C6" s="104" t="s">
        <v>704</v>
      </c>
      <c r="I6" s="61"/>
      <c r="J6" s="210"/>
      <c r="K6" s="3" t="s">
        <v>380</v>
      </c>
      <c r="L6" s="209"/>
      <c r="M6" s="65">
        <f>SUM(M3:M5)</f>
        <v>93600</v>
      </c>
      <c r="U6" s="325"/>
      <c r="V6" s="6"/>
      <c r="W6" s="6"/>
    </row>
    <row r="7" spans="2:23" ht="9.75" customHeight="1" thickTop="1" x14ac:dyDescent="0.25">
      <c r="U7" s="325"/>
      <c r="V7" s="6"/>
      <c r="W7" s="6"/>
    </row>
    <row r="8" spans="2:23" ht="15.75" customHeight="1" x14ac:dyDescent="0.25">
      <c r="B8" s="10" t="s">
        <v>355</v>
      </c>
      <c r="C8" s="3" t="s">
        <v>704</v>
      </c>
      <c r="K8" s="3" t="s">
        <v>380</v>
      </c>
      <c r="M8" s="211">
        <f>M6</f>
        <v>93600</v>
      </c>
      <c r="N8" s="211"/>
      <c r="U8" s="325"/>
      <c r="V8" s="6"/>
      <c r="W8" s="6"/>
    </row>
    <row r="9" spans="2:23" ht="15.75" customHeight="1" x14ac:dyDescent="0.25">
      <c r="C9" s="3" t="s">
        <v>705</v>
      </c>
      <c r="I9" s="210"/>
      <c r="K9" s="3" t="s">
        <v>380</v>
      </c>
      <c r="L9" s="67"/>
      <c r="M9" s="212">
        <f>T9</f>
        <v>2200</v>
      </c>
      <c r="N9" s="213"/>
      <c r="R9" s="327" t="s">
        <v>770</v>
      </c>
      <c r="S9" s="327"/>
      <c r="T9" s="331">
        <v>2200</v>
      </c>
      <c r="V9" s="6"/>
      <c r="W9" s="6"/>
    </row>
    <row r="10" spans="2:23" ht="15.75" customHeight="1" thickBot="1" x14ac:dyDescent="0.3">
      <c r="C10" s="104" t="s">
        <v>706</v>
      </c>
      <c r="I10" s="6"/>
      <c r="K10" s="3" t="s">
        <v>380</v>
      </c>
      <c r="L10" s="271">
        <f>M8*M9</f>
        <v>205920000</v>
      </c>
      <c r="M10" s="271"/>
      <c r="N10" s="214"/>
      <c r="T10" s="325"/>
      <c r="V10" s="6"/>
      <c r="W10" s="6"/>
    </row>
    <row r="11" spans="2:23" ht="9.75" customHeight="1" thickTop="1" x14ac:dyDescent="0.25">
      <c r="V11" s="6"/>
      <c r="W11" s="6"/>
    </row>
    <row r="12" spans="2:23" ht="15.75" customHeight="1" x14ac:dyDescent="0.25">
      <c r="B12" s="3" t="s">
        <v>110</v>
      </c>
      <c r="T12" s="332" t="str">
        <f>P13</f>
        <v>March 1</v>
      </c>
      <c r="U12" s="332" t="str">
        <f>P15</f>
        <v>March 31</v>
      </c>
      <c r="V12" s="6"/>
      <c r="W12" s="6"/>
    </row>
    <row r="13" spans="2:23" ht="15.75" customHeight="1" x14ac:dyDescent="0.25">
      <c r="B13" s="10" t="s">
        <v>354</v>
      </c>
      <c r="C13" s="3" t="str">
        <f>CONCATENATE("Materials inventory, ",P13,"……………………………………………………………………………………………………………………..")</f>
        <v>Materials inventory, March 1……………………………………………………………………………………………………………………..</v>
      </c>
      <c r="L13" s="3" t="s">
        <v>380</v>
      </c>
      <c r="M13" s="197">
        <f>T13</f>
        <v>14000</v>
      </c>
      <c r="N13" s="74"/>
      <c r="P13" s="333" t="s">
        <v>460</v>
      </c>
      <c r="Q13" s="326"/>
      <c r="R13" s="327" t="s">
        <v>318</v>
      </c>
      <c r="S13" s="327"/>
      <c r="T13" s="328">
        <v>14000</v>
      </c>
      <c r="U13" s="328">
        <v>-6500</v>
      </c>
      <c r="V13" s="6"/>
      <c r="W13" s="6"/>
    </row>
    <row r="14" spans="2:23" ht="15.75" customHeight="1" x14ac:dyDescent="0.25">
      <c r="C14" s="3" t="s">
        <v>707</v>
      </c>
      <c r="L14" s="3" t="s">
        <v>380</v>
      </c>
      <c r="M14" s="13">
        <f>T16</f>
        <v>25000</v>
      </c>
      <c r="N14" s="13"/>
      <c r="Q14" s="326"/>
      <c r="R14" s="327" t="s">
        <v>771</v>
      </c>
      <c r="S14" s="327"/>
      <c r="T14" s="329">
        <v>8000</v>
      </c>
      <c r="U14" s="329">
        <v>-4000</v>
      </c>
      <c r="V14" s="6"/>
      <c r="W14" s="6"/>
    </row>
    <row r="15" spans="2:23" ht="15.75" customHeight="1" x14ac:dyDescent="0.25">
      <c r="C15" s="3" t="str">
        <f>CONCATENATE("Materials inventory, ",P15,"……………………………………………………………………………………………………………………..")</f>
        <v>Materials inventory, March 31……………………………………………………………………………………………………………………..</v>
      </c>
      <c r="L15" s="3" t="s">
        <v>380</v>
      </c>
      <c r="M15" s="46">
        <f>U13</f>
        <v>-6500</v>
      </c>
      <c r="N15" s="46"/>
      <c r="P15" s="333" t="s">
        <v>127</v>
      </c>
      <c r="Q15" s="326"/>
      <c r="R15" s="327" t="s">
        <v>772</v>
      </c>
      <c r="S15" s="327"/>
      <c r="T15" s="329">
        <v>9000</v>
      </c>
      <c r="U15" s="329">
        <v>-7000</v>
      </c>
      <c r="V15" s="6"/>
      <c r="W15" s="6"/>
    </row>
    <row r="16" spans="2:23" ht="15.75" customHeight="1" thickBot="1" x14ac:dyDescent="0.3">
      <c r="C16" s="104" t="s">
        <v>708</v>
      </c>
      <c r="L16" s="3" t="s">
        <v>380</v>
      </c>
      <c r="M16" s="14">
        <f>SUM(M13:M15)</f>
        <v>32500</v>
      </c>
      <c r="N16" s="9"/>
      <c r="R16" s="327" t="s">
        <v>773</v>
      </c>
      <c r="S16" s="327"/>
      <c r="T16" s="329">
        <v>25000</v>
      </c>
      <c r="U16" s="325"/>
      <c r="V16" s="6"/>
      <c r="W16" s="6"/>
    </row>
    <row r="17" spans="2:23" ht="9.75" customHeight="1" thickTop="1" x14ac:dyDescent="0.25">
      <c r="R17" s="316"/>
      <c r="S17" s="316"/>
      <c r="T17" s="305"/>
      <c r="U17" s="325"/>
      <c r="V17" s="6"/>
      <c r="W17" s="6"/>
    </row>
    <row r="18" spans="2:23" ht="15.75" customHeight="1" x14ac:dyDescent="0.25">
      <c r="B18" s="10" t="s">
        <v>355</v>
      </c>
      <c r="C18" s="3" t="s">
        <v>709</v>
      </c>
      <c r="L18" s="3" t="s">
        <v>380</v>
      </c>
      <c r="M18" s="5">
        <f>M16</f>
        <v>32500</v>
      </c>
      <c r="N18" s="5"/>
      <c r="R18" s="327" t="s">
        <v>319</v>
      </c>
      <c r="S18" s="327"/>
      <c r="T18" s="329">
        <v>10000</v>
      </c>
      <c r="U18" s="325"/>
      <c r="V18" s="6"/>
      <c r="W18" s="6"/>
    </row>
    <row r="19" spans="2:23" ht="15.75" customHeight="1" x14ac:dyDescent="0.25">
      <c r="C19" s="3" t="s">
        <v>498</v>
      </c>
      <c r="L19" s="3" t="s">
        <v>380</v>
      </c>
      <c r="M19" s="13">
        <f>T18</f>
        <v>10000</v>
      </c>
      <c r="N19" s="13"/>
      <c r="R19" s="327" t="s">
        <v>739</v>
      </c>
      <c r="S19" s="327"/>
      <c r="T19" s="329">
        <v>42000</v>
      </c>
      <c r="U19" s="325"/>
      <c r="V19" s="6"/>
      <c r="W19" s="6"/>
    </row>
    <row r="20" spans="2:23" ht="15.75" customHeight="1" x14ac:dyDescent="0.25">
      <c r="C20" s="3" t="s">
        <v>644</v>
      </c>
      <c r="L20" s="3" t="s">
        <v>380</v>
      </c>
      <c r="M20" s="13">
        <f>T19</f>
        <v>42000</v>
      </c>
      <c r="N20" s="13"/>
      <c r="U20" s="325"/>
      <c r="V20" s="6"/>
      <c r="W20" s="6"/>
    </row>
    <row r="21" spans="2:23" ht="15.75" customHeight="1" thickBot="1" x14ac:dyDescent="0.3">
      <c r="C21" s="104" t="s">
        <v>710</v>
      </c>
      <c r="L21" s="3" t="s">
        <v>380</v>
      </c>
      <c r="M21" s="14">
        <f>SUM(M18:M20)</f>
        <v>84500</v>
      </c>
      <c r="N21" s="9"/>
      <c r="V21" s="6"/>
      <c r="W21" s="6"/>
    </row>
    <row r="22" spans="2:23" ht="9.75" customHeight="1" thickTop="1" x14ac:dyDescent="0.25">
      <c r="V22" s="6"/>
    </row>
    <row r="23" spans="2:23" ht="15.75" customHeight="1" x14ac:dyDescent="0.25">
      <c r="B23" s="10" t="s">
        <v>356</v>
      </c>
      <c r="C23" s="3" t="s">
        <v>710</v>
      </c>
      <c r="L23" s="3" t="s">
        <v>380</v>
      </c>
      <c r="M23" s="5">
        <f>M21</f>
        <v>84500</v>
      </c>
      <c r="N23" s="5"/>
    </row>
    <row r="24" spans="2:23" ht="15.75" customHeight="1" x14ac:dyDescent="0.25">
      <c r="C24" s="3" t="str">
        <f>CONCATENATE("Add: Work in process, ",P24,"……………………………………………………………………………………………………………………..")</f>
        <v>Add: Work in process, March 1……………………………………………………………………………………………………………………..</v>
      </c>
      <c r="L24" s="3" t="s">
        <v>380</v>
      </c>
      <c r="M24" s="13">
        <f>T14</f>
        <v>8000</v>
      </c>
      <c r="N24" s="13"/>
      <c r="P24" s="325" t="str">
        <f>P13</f>
        <v>March 1</v>
      </c>
      <c r="Q24" s="334"/>
    </row>
    <row r="25" spans="2:23" ht="15.75" customHeight="1" x14ac:dyDescent="0.25">
      <c r="C25" s="3" t="str">
        <f>CONCATENATE("Less: Work in process, ",P25,"……………………………………………………………………………………………………………………..")</f>
        <v>Less: Work in process, March 31……………………………………………………………………………………………………………………..</v>
      </c>
      <c r="L25" s="3" t="s">
        <v>380</v>
      </c>
      <c r="M25" s="46">
        <f>U14</f>
        <v>-4000</v>
      </c>
      <c r="N25" s="46"/>
      <c r="P25" s="325" t="str">
        <f>P15</f>
        <v>March 31</v>
      </c>
      <c r="Q25" s="334"/>
    </row>
    <row r="26" spans="2:23" ht="15.75" customHeight="1" thickBot="1" x14ac:dyDescent="0.3">
      <c r="C26" s="104" t="s">
        <v>711</v>
      </c>
      <c r="L26" s="3" t="s">
        <v>380</v>
      </c>
      <c r="M26" s="14">
        <f>SUM(M23:M25)</f>
        <v>88500</v>
      </c>
      <c r="N26" s="9"/>
    </row>
    <row r="27" spans="2:23" ht="15.75" customHeight="1" thickTop="1" x14ac:dyDescent="0.25">
      <c r="V27" s="6"/>
    </row>
    <row r="28" spans="2:23" ht="15.75" customHeight="1" x14ac:dyDescent="0.25">
      <c r="B28" s="3" t="s">
        <v>111</v>
      </c>
      <c r="V28" s="6"/>
    </row>
    <row r="29" spans="2:23" ht="15.75" customHeight="1" x14ac:dyDescent="0.25">
      <c r="B29" s="50" t="s">
        <v>712</v>
      </c>
      <c r="L29" s="3" t="s">
        <v>380</v>
      </c>
      <c r="M29" s="5">
        <f>M26</f>
        <v>88500</v>
      </c>
      <c r="N29" s="5"/>
      <c r="V29" s="6"/>
    </row>
    <row r="30" spans="2:23" ht="15.75" customHeight="1" x14ac:dyDescent="0.25">
      <c r="B30" s="3" t="s">
        <v>128</v>
      </c>
      <c r="L30" s="3" t="s">
        <v>380</v>
      </c>
      <c r="M30" s="13">
        <f>T15</f>
        <v>9000</v>
      </c>
      <c r="N30" s="13"/>
      <c r="V30" s="6"/>
    </row>
    <row r="31" spans="2:23" ht="15.75" customHeight="1" x14ac:dyDescent="0.25">
      <c r="B31" s="3" t="s">
        <v>129</v>
      </c>
      <c r="L31" s="3" t="s">
        <v>380</v>
      </c>
      <c r="M31" s="46">
        <f>U15</f>
        <v>-7000</v>
      </c>
      <c r="N31" s="46"/>
      <c r="V31" s="6"/>
    </row>
    <row r="32" spans="2:23" ht="15.75" customHeight="1" thickBot="1" x14ac:dyDescent="0.3">
      <c r="B32" s="104" t="s">
        <v>130</v>
      </c>
      <c r="L32" s="3" t="s">
        <v>380</v>
      </c>
      <c r="M32" s="14">
        <f>SUM(M29:M31)</f>
        <v>90500</v>
      </c>
      <c r="N32" s="9"/>
      <c r="V32" s="6"/>
    </row>
    <row r="33" spans="2:22" ht="5.0999999999999996" customHeight="1" thickTop="1" x14ac:dyDescent="0.25">
      <c r="V33" s="6"/>
    </row>
    <row r="34" spans="2:22" ht="15.75" customHeight="1" x14ac:dyDescent="0.25">
      <c r="B34" s="32" t="s">
        <v>366</v>
      </c>
      <c r="C34" s="2" t="s">
        <v>131</v>
      </c>
      <c r="V34" s="6"/>
    </row>
    <row r="35" spans="2:22" ht="15.75" customHeight="1" x14ac:dyDescent="0.25">
      <c r="V35" s="6"/>
    </row>
    <row r="36" spans="2:22" ht="15.75" customHeight="1" x14ac:dyDescent="0.25">
      <c r="B36" s="3" t="s">
        <v>112</v>
      </c>
      <c r="V36" s="6"/>
    </row>
    <row r="37" spans="2:22" ht="15.75" customHeight="1" x14ac:dyDescent="0.25">
      <c r="B37" s="3" t="s">
        <v>709</v>
      </c>
      <c r="L37" s="3" t="s">
        <v>380</v>
      </c>
      <c r="M37" s="231">
        <f>T39</f>
        <v>180000</v>
      </c>
      <c r="N37" s="5"/>
      <c r="R37" s="327" t="s">
        <v>774</v>
      </c>
      <c r="S37" s="327"/>
      <c r="T37" s="328">
        <v>280000</v>
      </c>
      <c r="V37" s="6"/>
    </row>
    <row r="38" spans="2:22" ht="15.75" customHeight="1" x14ac:dyDescent="0.25">
      <c r="B38" s="3" t="s">
        <v>498</v>
      </c>
      <c r="L38" s="3" t="s">
        <v>380</v>
      </c>
      <c r="M38" s="13">
        <f>T40</f>
        <v>505000</v>
      </c>
      <c r="N38" s="13"/>
      <c r="R38" s="327" t="s">
        <v>775</v>
      </c>
      <c r="S38" s="327"/>
      <c r="T38" s="328">
        <v>12</v>
      </c>
      <c r="V38" s="6"/>
    </row>
    <row r="39" spans="2:22" ht="15.75" customHeight="1" x14ac:dyDescent="0.25">
      <c r="B39" s="3" t="s">
        <v>713</v>
      </c>
      <c r="L39" s="3" t="s">
        <v>380</v>
      </c>
      <c r="M39" s="13">
        <f>T42</f>
        <v>110000</v>
      </c>
      <c r="N39" s="13"/>
      <c r="R39" s="327" t="s">
        <v>776</v>
      </c>
      <c r="S39" s="327"/>
      <c r="T39" s="328">
        <v>180000</v>
      </c>
      <c r="V39" s="6"/>
    </row>
    <row r="40" spans="2:22" ht="15.75" customHeight="1" thickBot="1" x14ac:dyDescent="0.3">
      <c r="B40" s="104" t="s">
        <v>714</v>
      </c>
      <c r="L40" s="3" t="s">
        <v>380</v>
      </c>
      <c r="M40" s="14">
        <f>SUM(M37:M39)</f>
        <v>795000</v>
      </c>
      <c r="N40" s="9"/>
      <c r="R40" s="327" t="s">
        <v>777</v>
      </c>
      <c r="S40" s="327"/>
      <c r="T40" s="328">
        <v>505000</v>
      </c>
      <c r="V40" s="6"/>
    </row>
    <row r="41" spans="2:22" ht="9.75" customHeight="1" thickTop="1" x14ac:dyDescent="0.25">
      <c r="R41" s="335"/>
      <c r="S41" s="335"/>
      <c r="T41" s="336"/>
      <c r="V41" s="6"/>
    </row>
    <row r="42" spans="2:22" ht="15.75" customHeight="1" x14ac:dyDescent="0.25">
      <c r="B42" s="48" t="s">
        <v>526</v>
      </c>
      <c r="R42" s="327" t="s">
        <v>739</v>
      </c>
      <c r="S42" s="327"/>
      <c r="T42" s="328">
        <v>110000</v>
      </c>
      <c r="V42" s="6"/>
    </row>
    <row r="43" spans="2:22" ht="15.75" customHeight="1" x14ac:dyDescent="0.25">
      <c r="B43" s="3" t="s">
        <v>527</v>
      </c>
      <c r="R43" s="327" t="s">
        <v>750</v>
      </c>
      <c r="S43" s="327"/>
      <c r="T43" s="328">
        <v>437000</v>
      </c>
      <c r="V43" s="6"/>
    </row>
    <row r="44" spans="2:22" ht="9.75" customHeight="1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R44" s="337"/>
      <c r="S44" s="337"/>
      <c r="T44" s="338"/>
      <c r="V44" s="6"/>
    </row>
    <row r="45" spans="2:22" ht="15.75" customHeight="1" x14ac:dyDescent="0.25">
      <c r="C45" s="63"/>
      <c r="D45" s="6"/>
      <c r="E45" s="6"/>
      <c r="F45" s="6"/>
      <c r="G45" s="6"/>
      <c r="H45" s="6"/>
      <c r="I45" s="6"/>
      <c r="J45" s="6"/>
      <c r="K45" s="6"/>
      <c r="L45" s="6"/>
      <c r="M45" s="152"/>
      <c r="N45" s="152"/>
      <c r="O45" s="6"/>
      <c r="P45" s="325"/>
      <c r="R45" s="327" t="s">
        <v>778</v>
      </c>
      <c r="S45" s="327"/>
      <c r="T45" s="329">
        <v>854000</v>
      </c>
      <c r="U45" s="339"/>
      <c r="V45" s="6"/>
    </row>
    <row r="46" spans="2:22" ht="15.75" customHeight="1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20"/>
      <c r="N46" s="20"/>
      <c r="O46" s="6"/>
      <c r="T46" s="340"/>
      <c r="U46" s="340"/>
      <c r="V46" s="6"/>
    </row>
    <row r="47" spans="2:22" ht="15.75" customHeight="1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153"/>
      <c r="N47" s="153"/>
      <c r="O47" s="6"/>
      <c r="P47" s="325"/>
      <c r="T47" s="341"/>
      <c r="U47" s="341"/>
      <c r="V47" s="6"/>
    </row>
    <row r="48" spans="2:22" ht="15.75" customHeight="1" x14ac:dyDescent="0.25">
      <c r="C48" s="6"/>
      <c r="D48" s="105"/>
      <c r="E48" s="6"/>
      <c r="F48" s="6"/>
      <c r="G48" s="6"/>
      <c r="H48" s="6"/>
      <c r="I48" s="6"/>
      <c r="J48" s="6"/>
      <c r="K48" s="6"/>
      <c r="L48" s="6"/>
      <c r="M48" s="9"/>
      <c r="N48" s="9"/>
      <c r="O48" s="6"/>
      <c r="T48" s="341"/>
      <c r="U48" s="341"/>
      <c r="V48" s="6"/>
    </row>
    <row r="49" spans="3:22" ht="15.75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V49" s="6"/>
    </row>
    <row r="50" spans="3:22" ht="15.75" customHeight="1" x14ac:dyDescent="0.25">
      <c r="C50" s="63"/>
      <c r="D50" s="6"/>
      <c r="E50" s="6"/>
      <c r="F50" s="6"/>
      <c r="G50" s="6"/>
      <c r="H50" s="6"/>
      <c r="I50" s="6"/>
      <c r="J50" s="6"/>
      <c r="K50" s="6"/>
      <c r="L50" s="6"/>
      <c r="M50" s="9"/>
      <c r="N50" s="9"/>
      <c r="O50" s="6"/>
      <c r="V50" s="6"/>
    </row>
    <row r="51" spans="3:22" ht="15.75" customHeight="1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20"/>
      <c r="N51" s="20"/>
      <c r="O51" s="6"/>
      <c r="V51" s="6"/>
    </row>
    <row r="52" spans="3:22" ht="15.75" customHeight="1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20"/>
      <c r="N52" s="20"/>
      <c r="O52" s="6"/>
      <c r="V52" s="6"/>
    </row>
    <row r="53" spans="3:22" ht="15.75" customHeight="1" x14ac:dyDescent="0.25">
      <c r="C53" s="6"/>
      <c r="D53" s="105"/>
      <c r="E53" s="6"/>
      <c r="F53" s="6"/>
      <c r="G53" s="6"/>
      <c r="H53" s="6"/>
      <c r="I53" s="6"/>
      <c r="J53" s="6"/>
      <c r="K53" s="6"/>
      <c r="L53" s="6"/>
      <c r="M53" s="9"/>
      <c r="N53" s="9"/>
      <c r="O53" s="6"/>
      <c r="V53" s="6"/>
    </row>
    <row r="54" spans="3:22" ht="15.75" customHeight="1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3:22" ht="15.75" customHeight="1" x14ac:dyDescent="0.25">
      <c r="C55" s="63"/>
      <c r="D55" s="6"/>
      <c r="E55" s="6"/>
      <c r="F55" s="6"/>
      <c r="G55" s="6"/>
      <c r="H55" s="6"/>
      <c r="I55" s="6"/>
      <c r="J55" s="6"/>
      <c r="K55" s="6"/>
      <c r="L55" s="6"/>
      <c r="M55" s="9"/>
      <c r="N55" s="9"/>
      <c r="O55" s="6"/>
    </row>
    <row r="56" spans="3:22" ht="15.75" customHeight="1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20"/>
      <c r="N56" s="20"/>
      <c r="O56" s="6"/>
      <c r="P56" s="325"/>
      <c r="Q56" s="342"/>
    </row>
    <row r="57" spans="3:22" ht="15.75" customHeight="1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153"/>
      <c r="N57" s="153"/>
      <c r="O57" s="6"/>
      <c r="P57" s="325"/>
      <c r="Q57" s="342"/>
    </row>
    <row r="58" spans="3:22" ht="15.75" customHeight="1" x14ac:dyDescent="0.25">
      <c r="C58" s="6"/>
      <c r="D58" s="105"/>
      <c r="E58" s="6"/>
      <c r="F58" s="6"/>
      <c r="G58" s="6"/>
      <c r="H58" s="6"/>
      <c r="I58" s="6"/>
      <c r="J58" s="6"/>
      <c r="K58" s="6"/>
      <c r="L58" s="6"/>
      <c r="M58" s="9"/>
      <c r="N58" s="9"/>
      <c r="O58" s="6"/>
    </row>
    <row r="59" spans="3:22" ht="15.75" customHeight="1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22" ht="15.75" customHeight="1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9"/>
      <c r="N60" s="9"/>
      <c r="O60" s="6"/>
    </row>
    <row r="61" spans="3:22" ht="15.75" customHeight="1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20"/>
      <c r="N61" s="20"/>
      <c r="O61" s="6"/>
      <c r="P61" s="325"/>
      <c r="Q61" s="342"/>
    </row>
    <row r="62" spans="3:22" ht="15.75" customHeight="1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153"/>
      <c r="N62" s="153"/>
      <c r="O62" s="6"/>
      <c r="P62" s="325"/>
      <c r="Q62" s="342"/>
    </row>
    <row r="63" spans="3:22" ht="15.75" customHeight="1" x14ac:dyDescent="0.25">
      <c r="C63" s="6"/>
      <c r="D63" s="105"/>
      <c r="E63" s="6"/>
      <c r="F63" s="6"/>
      <c r="G63" s="6"/>
      <c r="H63" s="6"/>
      <c r="I63" s="6"/>
      <c r="J63" s="6"/>
      <c r="K63" s="6"/>
      <c r="L63" s="6"/>
      <c r="M63" s="9"/>
      <c r="N63" s="9"/>
      <c r="O63" s="6"/>
    </row>
    <row r="64" spans="3:22" ht="15.75" customHeight="1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  <c r="M64" s="9"/>
      <c r="N64" s="9"/>
      <c r="O64" s="6"/>
    </row>
    <row r="65" spans="3:15" ht="15.75" customHeight="1" x14ac:dyDescent="0.25">
      <c r="C65" s="154"/>
      <c r="D65" s="10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3:15" ht="15.75" customHeight="1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3:15" ht="15.75" customHeight="1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3:15" ht="15.75" customHeight="1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3:15" ht="15.75" customHeight="1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3:15" ht="15.75" customHeight="1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3:15" ht="15.75" customHeight="1" x14ac:dyDescent="0.25"/>
    <row r="72" spans="3:15" ht="15.75" customHeight="1" x14ac:dyDescent="0.25"/>
    <row r="73" spans="3:15" ht="15.75" customHeight="1" x14ac:dyDescent="0.25"/>
    <row r="74" spans="3:15" ht="15" customHeight="1" x14ac:dyDescent="0.25"/>
    <row r="75" spans="3:15" ht="15" customHeight="1" x14ac:dyDescent="0.25"/>
    <row r="76" spans="3:15" ht="15" customHeight="1" x14ac:dyDescent="0.25"/>
    <row r="77" spans="3:15" ht="15" customHeight="1" x14ac:dyDescent="0.25"/>
    <row r="78" spans="3:15" ht="15" customHeight="1" x14ac:dyDescent="0.25"/>
    <row r="79" spans="3:15" ht="15" customHeight="1" x14ac:dyDescent="0.25"/>
    <row r="80" spans="3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</sheetData>
  <customSheetViews>
    <customSheetView guid="{C95BCE97-951E-4C98-84AE-A423A99BB34B}" showPageBreaks="1" fitToPage="1" printArea="1">
      <selection activeCell="E1" sqref="E1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25" fitToPage="1">
      <selection activeCell="Q32" sqref="Q32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E1" sqref="E1"/>
      <pageMargins left="1" right="0.5" top="0.85" bottom="0.8" header="0.5" footer="0.35"/>
      <printOptions horizontalCentered="1"/>
      <pageSetup scale="93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9">
    <mergeCell ref="R18:S18"/>
    <mergeCell ref="R19:S19"/>
    <mergeCell ref="R45:S45"/>
    <mergeCell ref="R37:S37"/>
    <mergeCell ref="R38:S38"/>
    <mergeCell ref="R39:S39"/>
    <mergeCell ref="R40:S40"/>
    <mergeCell ref="R42:S42"/>
    <mergeCell ref="R43:S43"/>
    <mergeCell ref="R13:S13"/>
    <mergeCell ref="R14:S14"/>
    <mergeCell ref="R15:S15"/>
    <mergeCell ref="R16:S16"/>
    <mergeCell ref="R17:S17"/>
    <mergeCell ref="L10:M10"/>
    <mergeCell ref="R3:S3"/>
    <mergeCell ref="R4:S4"/>
    <mergeCell ref="R5:S5"/>
    <mergeCell ref="R9:S9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5" width="3.7109375" style="3" customWidth="1"/>
    <col min="6" max="6" width="8.7109375" style="3" customWidth="1"/>
    <col min="7" max="7" width="3.7109375" style="3" customWidth="1"/>
    <col min="8" max="8" width="13" style="3" customWidth="1"/>
    <col min="9" max="9" width="2.28515625" style="3" customWidth="1"/>
    <col min="10" max="10" width="10" style="3" customWidth="1"/>
    <col min="11" max="11" width="2" style="3" customWidth="1"/>
    <col min="12" max="12" width="15.7109375" style="3" customWidth="1"/>
    <col min="13" max="13" width="2.5703125" style="3" customWidth="1"/>
    <col min="14" max="14" width="10.140625" style="3" bestFit="1" customWidth="1"/>
    <col min="15" max="15" width="2.7109375" style="3" customWidth="1"/>
    <col min="16" max="16" width="3.85546875" style="3" customWidth="1"/>
    <col min="17" max="17" width="9.140625" style="3"/>
    <col min="18" max="18" width="2.7109375" style="3" customWidth="1"/>
    <col min="19" max="19" width="11.5703125" style="318" hidden="1" customWidth="1"/>
    <col min="20" max="20" width="2.7109375" style="318" hidden="1" customWidth="1"/>
    <col min="21" max="21" width="11.5703125" style="318" hidden="1" customWidth="1"/>
    <col min="22" max="22" width="2.7109375" style="318" hidden="1" customWidth="1"/>
    <col min="23" max="23" width="11.85546875" style="318" hidden="1" customWidth="1"/>
    <col min="24" max="24" width="3.28515625" style="298" hidden="1" customWidth="1"/>
    <col min="25" max="25" width="9.28515625" style="297" hidden="1" customWidth="1"/>
    <col min="26" max="26" width="2.7109375" style="3" customWidth="1"/>
    <col min="27" max="16384" width="9.140625" style="3"/>
  </cols>
  <sheetData>
    <row r="1" spans="2:23" ht="30" customHeight="1" x14ac:dyDescent="0.25"/>
    <row r="2" spans="2:23" ht="15.75" customHeight="1" x14ac:dyDescent="0.25">
      <c r="B2" s="3" t="s">
        <v>113</v>
      </c>
    </row>
    <row r="3" spans="2:23" ht="15.75" customHeight="1" x14ac:dyDescent="0.25">
      <c r="B3" s="10" t="s">
        <v>354</v>
      </c>
      <c r="C3" s="3" t="s">
        <v>243</v>
      </c>
      <c r="G3" s="42" t="s">
        <v>345</v>
      </c>
      <c r="H3" s="3" t="s">
        <v>535</v>
      </c>
      <c r="S3" s="302"/>
      <c r="T3" s="302"/>
      <c r="U3" s="302"/>
      <c r="V3" s="302"/>
      <c r="W3" s="302"/>
    </row>
    <row r="4" spans="2:23" ht="15.75" customHeight="1" x14ac:dyDescent="0.25">
      <c r="G4" s="42" t="s">
        <v>345</v>
      </c>
      <c r="H4" s="3" t="str">
        <f>CONCATENATE(TEXT(S4,"#,##0")," units",T4,TEXT(U4,"$#,##0"),)</f>
        <v>280,000 units × $12</v>
      </c>
      <c r="S4" s="308">
        <v>280000</v>
      </c>
      <c r="T4" s="308" t="s">
        <v>469</v>
      </c>
      <c r="U4" s="308">
        <v>12</v>
      </c>
      <c r="V4" s="308" t="s">
        <v>468</v>
      </c>
      <c r="W4" s="308">
        <f>SUM(S4*U4)</f>
        <v>3360000</v>
      </c>
    </row>
    <row r="5" spans="2:23" ht="15.75" customHeight="1" x14ac:dyDescent="0.25">
      <c r="G5" s="42" t="s">
        <v>345</v>
      </c>
      <c r="H5" s="43">
        <f>W4</f>
        <v>3360000</v>
      </c>
      <c r="I5" s="43"/>
      <c r="J5" s="43"/>
      <c r="K5" s="43"/>
    </row>
    <row r="6" spans="2:23" ht="9.75" customHeight="1" thickBot="1" x14ac:dyDescent="0.3"/>
    <row r="7" spans="2:23" ht="15.75" customHeight="1" x14ac:dyDescent="0.25">
      <c r="B7" s="10" t="s">
        <v>355</v>
      </c>
      <c r="C7" s="253" t="s">
        <v>242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</row>
    <row r="8" spans="2:23" ht="15.75" customHeight="1" x14ac:dyDescent="0.25">
      <c r="C8" s="254" t="s">
        <v>349</v>
      </c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S8" s="300"/>
      <c r="T8" s="300"/>
      <c r="U8" s="343"/>
    </row>
    <row r="9" spans="2:23" ht="15.75" customHeight="1" thickBot="1" x14ac:dyDescent="0.3">
      <c r="C9" s="250" t="s">
        <v>365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S9" s="300"/>
      <c r="T9" s="300"/>
      <c r="U9" s="300"/>
    </row>
    <row r="10" spans="2:23" ht="5.0999999999999996" customHeight="1" x14ac:dyDescent="0.25">
      <c r="S10" s="300"/>
      <c r="T10" s="300"/>
      <c r="U10" s="343"/>
    </row>
    <row r="11" spans="2:23" ht="15.75" customHeight="1" x14ac:dyDescent="0.25">
      <c r="C11" s="3" t="s">
        <v>176</v>
      </c>
      <c r="M11" s="3" t="s">
        <v>380</v>
      </c>
      <c r="N11" s="272">
        <f>H5</f>
        <v>3360000</v>
      </c>
      <c r="O11" s="272"/>
      <c r="P11" s="272"/>
      <c r="S11" s="300"/>
      <c r="T11" s="300"/>
      <c r="U11" s="343"/>
    </row>
    <row r="12" spans="2:23" ht="15.75" customHeight="1" x14ac:dyDescent="0.25">
      <c r="C12" s="3" t="s">
        <v>177</v>
      </c>
      <c r="M12" s="3" t="s">
        <v>380</v>
      </c>
      <c r="N12" s="273">
        <f>J23</f>
        <v>795000</v>
      </c>
      <c r="O12" s="273"/>
      <c r="P12" s="273"/>
      <c r="S12" s="300"/>
      <c r="T12" s="300"/>
      <c r="U12" s="300"/>
    </row>
    <row r="13" spans="2:23" ht="15.75" customHeight="1" x14ac:dyDescent="0.25">
      <c r="C13" s="3" t="s">
        <v>178</v>
      </c>
      <c r="M13" s="3" t="s">
        <v>380</v>
      </c>
      <c r="N13" s="274">
        <f>N11-N12</f>
        <v>2565000</v>
      </c>
      <c r="O13" s="274"/>
      <c r="P13" s="274"/>
      <c r="S13" s="300"/>
      <c r="T13" s="300"/>
      <c r="U13" s="343"/>
    </row>
    <row r="14" spans="2:23" ht="15.75" customHeight="1" x14ac:dyDescent="0.25">
      <c r="C14" s="3" t="s">
        <v>350</v>
      </c>
      <c r="N14" s="54"/>
    </row>
    <row r="15" spans="2:23" ht="15.75" customHeight="1" x14ac:dyDescent="0.25">
      <c r="C15" s="104" t="s">
        <v>179</v>
      </c>
      <c r="M15" s="3" t="s">
        <v>380</v>
      </c>
      <c r="N15" s="278">
        <f>U15</f>
        <v>437000</v>
      </c>
      <c r="O15" s="278"/>
      <c r="P15" s="278"/>
      <c r="S15" s="316" t="s">
        <v>750</v>
      </c>
      <c r="T15" s="316"/>
      <c r="U15" s="343">
        <v>437000</v>
      </c>
    </row>
    <row r="16" spans="2:23" ht="15.75" customHeight="1" x14ac:dyDescent="0.25">
      <c r="C16" s="104" t="s">
        <v>180</v>
      </c>
      <c r="M16" s="3" t="s">
        <v>380</v>
      </c>
      <c r="N16" s="279">
        <f>U16</f>
        <v>854000</v>
      </c>
      <c r="O16" s="279"/>
      <c r="P16" s="279"/>
      <c r="S16" s="316" t="s">
        <v>778</v>
      </c>
      <c r="T16" s="316"/>
      <c r="U16" s="343">
        <v>854000</v>
      </c>
    </row>
    <row r="17" spans="2:23" ht="15.75" customHeight="1" thickBot="1" x14ac:dyDescent="0.3">
      <c r="C17" s="3" t="s">
        <v>181</v>
      </c>
      <c r="M17" s="3" t="s">
        <v>380</v>
      </c>
      <c r="N17" s="277">
        <f>N13-N15-N16</f>
        <v>1274000</v>
      </c>
      <c r="O17" s="277"/>
      <c r="P17" s="277"/>
    </row>
    <row r="18" spans="2:23" ht="9.75" customHeight="1" thickTop="1" thickBot="1" x14ac:dyDescent="0.3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U18" s="300"/>
      <c r="V18" s="300"/>
      <c r="W18" s="343"/>
    </row>
    <row r="19" spans="2:23" ht="5.0999999999999996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V19" s="300"/>
    </row>
    <row r="20" spans="2:23" ht="15.75" customHeight="1" x14ac:dyDescent="0.25">
      <c r="B20" s="32" t="s">
        <v>366</v>
      </c>
      <c r="C20" s="2" t="s">
        <v>709</v>
      </c>
      <c r="E20" s="2"/>
      <c r="F20" s="2"/>
      <c r="G20" s="2"/>
      <c r="H20" s="2"/>
      <c r="I20" s="2" t="s">
        <v>380</v>
      </c>
      <c r="J20" s="51">
        <f>U20</f>
        <v>180000</v>
      </c>
      <c r="K20" s="51"/>
      <c r="S20" s="316" t="s">
        <v>776</v>
      </c>
      <c r="T20" s="316"/>
      <c r="U20" s="306">
        <v>180000</v>
      </c>
    </row>
    <row r="21" spans="2:23" ht="14.1" customHeight="1" x14ac:dyDescent="0.25">
      <c r="C21" s="2" t="s">
        <v>498</v>
      </c>
      <c r="E21" s="2"/>
      <c r="F21" s="2"/>
      <c r="G21" s="2"/>
      <c r="H21" s="2"/>
      <c r="I21" s="2" t="s">
        <v>380</v>
      </c>
      <c r="J21" s="52">
        <f>U21</f>
        <v>505000</v>
      </c>
      <c r="K21" s="52"/>
      <c r="S21" s="316" t="s">
        <v>777</v>
      </c>
      <c r="T21" s="316"/>
      <c r="U21" s="306">
        <v>505000</v>
      </c>
    </row>
    <row r="22" spans="2:23" ht="14.1" customHeight="1" x14ac:dyDescent="0.25">
      <c r="C22" s="2" t="s">
        <v>713</v>
      </c>
      <c r="E22" s="2"/>
      <c r="F22" s="2"/>
      <c r="G22" s="2"/>
      <c r="H22" s="2"/>
      <c r="I22" s="2" t="s">
        <v>380</v>
      </c>
      <c r="J22" s="52">
        <f>U22</f>
        <v>110000</v>
      </c>
      <c r="K22" s="52"/>
      <c r="S22" s="316" t="s">
        <v>779</v>
      </c>
      <c r="T22" s="316"/>
      <c r="U22" s="306">
        <v>110000</v>
      </c>
    </row>
    <row r="23" spans="2:23" ht="14.1" customHeight="1" thickBot="1" x14ac:dyDescent="0.3">
      <c r="C23" s="136" t="s">
        <v>714</v>
      </c>
      <c r="G23" s="2"/>
      <c r="H23" s="2"/>
      <c r="I23" s="2" t="s">
        <v>380</v>
      </c>
      <c r="J23" s="53">
        <f>SUM(J20:J22)</f>
        <v>795000</v>
      </c>
      <c r="K23" s="199"/>
      <c r="V23" s="300"/>
      <c r="W23" s="343"/>
    </row>
    <row r="24" spans="2:23" ht="15.75" customHeight="1" thickTop="1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U24" s="300"/>
      <c r="V24" s="300"/>
      <c r="W24" s="343"/>
    </row>
    <row r="25" spans="2:23" ht="15.75" customHeight="1" x14ac:dyDescent="0.25">
      <c r="B25" s="54" t="s">
        <v>114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U25" s="300"/>
      <c r="V25" s="300"/>
      <c r="W25" s="300"/>
    </row>
    <row r="26" spans="2:23" ht="5.0999999999999996" customHeight="1" thickBot="1" x14ac:dyDescent="0.3">
      <c r="B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U26" s="300"/>
      <c r="V26" s="300"/>
      <c r="W26" s="343"/>
    </row>
    <row r="27" spans="2:23" ht="15.75" customHeight="1" x14ac:dyDescent="0.25">
      <c r="B27" s="10" t="s">
        <v>354</v>
      </c>
      <c r="C27" s="253" t="s">
        <v>242</v>
      </c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S27" s="320"/>
    </row>
    <row r="28" spans="2:23" ht="15.75" customHeight="1" x14ac:dyDescent="0.25">
      <c r="C28" s="254" t="s">
        <v>349</v>
      </c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</row>
    <row r="29" spans="2:23" ht="15.75" customHeight="1" thickBot="1" x14ac:dyDescent="0.3">
      <c r="C29" s="250" t="s">
        <v>365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2:23" ht="5.0999999999999996" customHeight="1" x14ac:dyDescent="0.25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2:23" ht="15.75" customHeight="1" x14ac:dyDescent="0.25">
      <c r="C31" s="54"/>
      <c r="D31" s="54"/>
      <c r="E31" s="54"/>
      <c r="F31" s="54"/>
      <c r="G31" s="54"/>
      <c r="H31" s="54"/>
      <c r="I31" s="54"/>
      <c r="J31" s="54"/>
      <c r="K31" s="54"/>
      <c r="L31" s="94" t="s">
        <v>204</v>
      </c>
      <c r="M31" s="54"/>
      <c r="N31" s="276" t="s">
        <v>205</v>
      </c>
      <c r="O31" s="276"/>
      <c r="P31" s="94"/>
    </row>
    <row r="32" spans="2:23" ht="15.75" customHeight="1" thickBot="1" x14ac:dyDescent="0.3">
      <c r="C32" s="54"/>
      <c r="D32" s="54"/>
      <c r="E32" s="54"/>
      <c r="F32" s="54"/>
      <c r="G32" s="54"/>
      <c r="H32" s="54"/>
      <c r="I32" s="54"/>
      <c r="J32" s="54"/>
      <c r="K32" s="54"/>
      <c r="L32" s="95" t="s">
        <v>203</v>
      </c>
      <c r="M32" s="54"/>
      <c r="N32" s="275" t="s">
        <v>368</v>
      </c>
      <c r="O32" s="275"/>
      <c r="P32" s="94"/>
    </row>
    <row r="33" spans="2:26" ht="5.0999999999999996" customHeight="1" x14ac:dyDescent="0.25">
      <c r="C33" s="54"/>
      <c r="D33" s="54"/>
      <c r="E33" s="54"/>
      <c r="F33" s="54"/>
      <c r="G33" s="54"/>
      <c r="H33" s="54"/>
      <c r="I33" s="54"/>
      <c r="J33" s="54"/>
      <c r="K33" s="54"/>
      <c r="L33" s="94"/>
      <c r="M33" s="54"/>
      <c r="N33" s="94"/>
      <c r="O33" s="94"/>
      <c r="P33" s="94"/>
    </row>
    <row r="34" spans="2:26" ht="15.75" customHeight="1" x14ac:dyDescent="0.25">
      <c r="C34" s="54" t="s">
        <v>715</v>
      </c>
      <c r="D34" s="54"/>
      <c r="E34" s="54"/>
      <c r="F34" s="54"/>
      <c r="G34" s="54"/>
      <c r="H34" s="54"/>
      <c r="I34" s="54"/>
      <c r="J34" s="54"/>
      <c r="K34" s="54" t="s">
        <v>380</v>
      </c>
      <c r="L34" s="96">
        <f>'2-14'!S4*'2-14'!U4</f>
        <v>3360000</v>
      </c>
      <c r="M34" s="54"/>
      <c r="N34" s="130">
        <f>(W45*100)</f>
        <v>100</v>
      </c>
      <c r="O34" s="132" t="s">
        <v>337</v>
      </c>
    </row>
    <row r="35" spans="2:26" ht="15.75" customHeight="1" x14ac:dyDescent="0.25">
      <c r="C35" s="54" t="s">
        <v>716</v>
      </c>
      <c r="D35" s="54"/>
      <c r="E35" s="54"/>
      <c r="F35" s="54"/>
      <c r="G35" s="54"/>
      <c r="H35" s="54"/>
      <c r="I35" s="54"/>
      <c r="J35" s="54"/>
      <c r="K35" s="54" t="s">
        <v>380</v>
      </c>
      <c r="L35" s="59">
        <f>J23</f>
        <v>795000</v>
      </c>
      <c r="M35" s="54"/>
      <c r="N35" s="187">
        <f>(W46*100)</f>
        <v>23.660714285714285</v>
      </c>
      <c r="O35" s="132" t="s">
        <v>338</v>
      </c>
    </row>
    <row r="36" spans="2:26" ht="15.75" customHeight="1" x14ac:dyDescent="0.25">
      <c r="C36" s="54" t="s">
        <v>717</v>
      </c>
      <c r="D36" s="54"/>
      <c r="E36" s="54"/>
      <c r="F36" s="54"/>
      <c r="G36" s="54"/>
      <c r="H36" s="54"/>
      <c r="I36" s="54"/>
      <c r="J36" s="54"/>
      <c r="K36" s="54" t="s">
        <v>380</v>
      </c>
      <c r="L36" s="215">
        <f>L34-L35</f>
        <v>2565000</v>
      </c>
      <c r="M36" s="54"/>
      <c r="N36" s="216">
        <f>(W47*100)</f>
        <v>76.339285714285708</v>
      </c>
      <c r="O36" s="132" t="s">
        <v>340</v>
      </c>
    </row>
    <row r="37" spans="2:26" ht="5.0999999999999996" customHeight="1" x14ac:dyDescent="0.25">
      <c r="C37" s="54"/>
      <c r="D37" s="54"/>
      <c r="E37" s="54"/>
      <c r="F37" s="54"/>
      <c r="G37" s="54"/>
      <c r="H37" s="54"/>
      <c r="I37" s="54"/>
      <c r="J37" s="54"/>
      <c r="K37" s="54"/>
      <c r="L37" s="96"/>
      <c r="M37" s="54"/>
      <c r="N37" s="130"/>
      <c r="O37" s="132"/>
    </row>
    <row r="38" spans="2:26" ht="15.75" customHeight="1" x14ac:dyDescent="0.25">
      <c r="C38" s="54" t="s">
        <v>350</v>
      </c>
      <c r="D38" s="54"/>
      <c r="E38" s="54"/>
      <c r="F38" s="54"/>
      <c r="G38" s="54"/>
      <c r="H38" s="54"/>
      <c r="I38" s="54"/>
      <c r="J38" s="54"/>
      <c r="K38" s="54"/>
      <c r="L38" s="96"/>
      <c r="M38" s="54"/>
      <c r="N38" s="130"/>
      <c r="O38" s="132"/>
    </row>
    <row r="39" spans="2:26" ht="15.75" customHeight="1" x14ac:dyDescent="0.25">
      <c r="C39" s="139" t="s">
        <v>718</v>
      </c>
      <c r="D39" s="54"/>
      <c r="F39" s="54"/>
      <c r="G39" s="54"/>
      <c r="H39" s="54"/>
      <c r="I39" s="54"/>
      <c r="J39" s="54"/>
      <c r="K39" s="54" t="s">
        <v>380</v>
      </c>
      <c r="L39" s="60">
        <f>'2-14'!N15</f>
        <v>437000</v>
      </c>
      <c r="M39" s="54"/>
      <c r="N39" s="130">
        <f>(W48*100)</f>
        <v>13.005952380952381</v>
      </c>
      <c r="O39" s="132" t="s">
        <v>341</v>
      </c>
    </row>
    <row r="40" spans="2:26" ht="15.75" customHeight="1" x14ac:dyDescent="0.25">
      <c r="C40" s="139" t="s">
        <v>719</v>
      </c>
      <c r="D40" s="54"/>
      <c r="F40" s="54"/>
      <c r="G40" s="54"/>
      <c r="H40" s="54"/>
      <c r="I40" s="54"/>
      <c r="J40" s="54"/>
      <c r="K40" s="54" t="s">
        <v>380</v>
      </c>
      <c r="L40" s="60">
        <f>'2-14'!N16</f>
        <v>854000</v>
      </c>
      <c r="M40" s="54"/>
      <c r="N40" s="130">
        <f>(W49*100)</f>
        <v>25.416666666666664</v>
      </c>
      <c r="O40" s="132" t="s">
        <v>339</v>
      </c>
    </row>
    <row r="41" spans="2:26" ht="16.5" customHeight="1" thickBot="1" x14ac:dyDescent="0.3">
      <c r="C41" s="54" t="s">
        <v>720</v>
      </c>
      <c r="D41" s="54"/>
      <c r="E41" s="54"/>
      <c r="F41" s="54"/>
      <c r="G41" s="54"/>
      <c r="H41" s="54"/>
      <c r="I41" s="54"/>
      <c r="J41" s="54"/>
      <c r="K41" s="54" t="s">
        <v>380</v>
      </c>
      <c r="L41" s="198">
        <f>L36-L39-L40</f>
        <v>1274000</v>
      </c>
      <c r="M41" s="54"/>
      <c r="N41" s="131">
        <f>ROUND(N36-N39-N40,1)</f>
        <v>37.9</v>
      </c>
      <c r="O41" s="219" t="s">
        <v>367</v>
      </c>
    </row>
    <row r="42" spans="2:26" ht="9.75" customHeight="1" thickTop="1" thickBot="1" x14ac:dyDescent="0.3"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T42" s="307"/>
      <c r="U42" s="307"/>
    </row>
    <row r="43" spans="2:26" ht="5.0999999999999996" customHeight="1" x14ac:dyDescent="0.25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T43" s="307"/>
      <c r="U43" s="307"/>
      <c r="W43" s="302"/>
    </row>
    <row r="44" spans="2:26" ht="15.75" customHeight="1" x14ac:dyDescent="0.25">
      <c r="B44" s="128" t="s">
        <v>366</v>
      </c>
      <c r="C44" s="57" t="s">
        <v>133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2"/>
      <c r="R44" s="2"/>
      <c r="S44" s="307"/>
      <c r="T44" s="307"/>
      <c r="U44" s="307"/>
      <c r="W44" s="302"/>
      <c r="X44" s="302"/>
      <c r="Y44" s="302"/>
      <c r="Z44" s="2"/>
    </row>
    <row r="45" spans="2:26" ht="15.75" customHeight="1" x14ac:dyDescent="0.25">
      <c r="B45" s="2"/>
      <c r="C45" s="155" t="s">
        <v>337</v>
      </c>
      <c r="D45" s="57" t="str">
        <f>CONCATENATE("Sales revenue:  ",TEXT(S45,"$#,##0"),T45,TEXT(U45,"$#,##0"),V45,TEXT(W45,"#,##0.00"),X45,TEXT(Y45,"0%"),)</f>
        <v>Sales revenue:  $3,360,000/$3,360,000 = 1.00, or 100%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2"/>
      <c r="R45" s="2"/>
      <c r="S45" s="308">
        <f>W4</f>
        <v>3360000</v>
      </c>
      <c r="T45" s="308" t="s">
        <v>495</v>
      </c>
      <c r="U45" s="308">
        <f>W4</f>
        <v>3360000</v>
      </c>
      <c r="V45" s="308" t="s">
        <v>468</v>
      </c>
      <c r="W45" s="344">
        <f t="shared" ref="W45:W50" si="0">SUM(S45/U45)</f>
        <v>1</v>
      </c>
      <c r="X45" s="308" t="s">
        <v>492</v>
      </c>
      <c r="Y45" s="345">
        <f t="shared" ref="Y45:Y50" si="1">W45</f>
        <v>1</v>
      </c>
      <c r="Z45" s="2"/>
    </row>
    <row r="46" spans="2:26" ht="15.75" customHeight="1" x14ac:dyDescent="0.25">
      <c r="B46" s="2"/>
      <c r="C46" s="155" t="s">
        <v>338</v>
      </c>
      <c r="D46" s="57" t="str">
        <f>CONCATENATE("Cost of goods sold:  ",TEXT(S46,"$#,##0"),T46,TEXT(U46,"$#,##0"),V46,TEXT(W46,"#,##0.000"),X46,TEXT(Y46,"0.0%"),)</f>
        <v>Cost of goods sold:  $795,000/$3,360,000 = 0.237, or 23.7%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2"/>
      <c r="R46" s="2"/>
      <c r="S46" s="308">
        <f>L35</f>
        <v>795000</v>
      </c>
      <c r="T46" s="308" t="s">
        <v>495</v>
      </c>
      <c r="U46" s="308">
        <f>$U$45</f>
        <v>3360000</v>
      </c>
      <c r="V46" s="308" t="s">
        <v>468</v>
      </c>
      <c r="W46" s="344">
        <f t="shared" si="0"/>
        <v>0.23660714285714285</v>
      </c>
      <c r="X46" s="308" t="s">
        <v>492</v>
      </c>
      <c r="Y46" s="346">
        <f t="shared" si="1"/>
        <v>0.23660714285714285</v>
      </c>
      <c r="Z46" s="2"/>
    </row>
    <row r="47" spans="2:26" ht="15.75" customHeight="1" x14ac:dyDescent="0.25">
      <c r="B47" s="2"/>
      <c r="C47" s="155" t="s">
        <v>340</v>
      </c>
      <c r="D47" s="57" t="str">
        <f>CONCATENATE("Gross profit:  ",TEXT(S47,"$#,##0"),T47,TEXT(U47,"$#,##0"),V47,TEXT(W47,"#,##0.000"),X47,TEXT(Y47,"0.0%"),)</f>
        <v>Gross profit:  $2,565,000/$3,360,000 = 0.763, or 76.3%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2"/>
      <c r="R47" s="2"/>
      <c r="S47" s="308">
        <f>L36</f>
        <v>2565000</v>
      </c>
      <c r="T47" s="308" t="s">
        <v>495</v>
      </c>
      <c r="U47" s="308">
        <f>$U$45</f>
        <v>3360000</v>
      </c>
      <c r="V47" s="308" t="s">
        <v>468</v>
      </c>
      <c r="W47" s="344">
        <f t="shared" si="0"/>
        <v>0.7633928571428571</v>
      </c>
      <c r="X47" s="308" t="s">
        <v>492</v>
      </c>
      <c r="Y47" s="346">
        <f t="shared" si="1"/>
        <v>0.7633928571428571</v>
      </c>
      <c r="Z47" s="2"/>
    </row>
    <row r="48" spans="2:26" ht="15.75" customHeight="1" x14ac:dyDescent="0.25">
      <c r="B48" s="2"/>
      <c r="C48" s="155" t="s">
        <v>341</v>
      </c>
      <c r="D48" s="57" t="str">
        <f>CONCATENATE("Selling expense:  ",TEXT(S48,"$#,##0"),T48,TEXT(U48,"$#,##0"),V48,TEXT(W48,"#,##0.000"),X48,TEXT(Y48,"0.0%"),)</f>
        <v>Selling expense:  $437,000/$3,360,000 = 0.130, or 13.0%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2"/>
      <c r="R48" s="2"/>
      <c r="S48" s="308">
        <f>L39</f>
        <v>437000</v>
      </c>
      <c r="T48" s="308" t="s">
        <v>495</v>
      </c>
      <c r="U48" s="308">
        <f>$U$45</f>
        <v>3360000</v>
      </c>
      <c r="V48" s="308" t="s">
        <v>468</v>
      </c>
      <c r="W48" s="344">
        <f t="shared" si="0"/>
        <v>0.13005952380952382</v>
      </c>
      <c r="X48" s="308" t="s">
        <v>492</v>
      </c>
      <c r="Y48" s="346">
        <f t="shared" si="1"/>
        <v>0.13005952380952382</v>
      </c>
      <c r="Z48" s="2"/>
    </row>
    <row r="49" spans="2:26" ht="15.75" customHeight="1" x14ac:dyDescent="0.25">
      <c r="B49" s="2"/>
      <c r="C49" s="155" t="s">
        <v>339</v>
      </c>
      <c r="D49" s="57" t="str">
        <f>CONCATENATE("Administrative expense:  ",TEXT(S49,"$#,##0"),T49,TEXT(U49,"$#,##0"),V49,TEXT(W49,"#,##0.000"),X49,TEXT(Y49,"0.0%"),)</f>
        <v>Administrative expense:  $854,000/$3,360,000 = 0.254, or 25.4%</v>
      </c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2"/>
      <c r="R49" s="2"/>
      <c r="S49" s="308">
        <f>L40</f>
        <v>854000</v>
      </c>
      <c r="T49" s="308" t="s">
        <v>495</v>
      </c>
      <c r="U49" s="308">
        <f>$U$45</f>
        <v>3360000</v>
      </c>
      <c r="V49" s="308" t="s">
        <v>468</v>
      </c>
      <c r="W49" s="344">
        <f t="shared" si="0"/>
        <v>0.25416666666666665</v>
      </c>
      <c r="X49" s="308" t="s">
        <v>492</v>
      </c>
      <c r="Y49" s="346">
        <f t="shared" si="1"/>
        <v>0.25416666666666665</v>
      </c>
      <c r="Z49" s="2"/>
    </row>
    <row r="50" spans="2:26" ht="15.75" customHeight="1" x14ac:dyDescent="0.25">
      <c r="B50" s="2"/>
      <c r="C50" s="155" t="s">
        <v>367</v>
      </c>
      <c r="D50" s="57" t="str">
        <f>CONCATENATE("Operating income:  ",TEXT(S50,"$#,##0"),T50,TEXT(U50,"$#,##0"),V50,TEXT(W50,"#,##0.000"),X50,TEXT(Y50,"0.0%"),)</f>
        <v>Operating income:  $1,274,000/$3,360,000 = 0.379, or 37.9%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2"/>
      <c r="R50" s="2"/>
      <c r="S50" s="308">
        <f>L41</f>
        <v>1274000</v>
      </c>
      <c r="T50" s="308" t="s">
        <v>495</v>
      </c>
      <c r="U50" s="308">
        <f>$U$45</f>
        <v>3360000</v>
      </c>
      <c r="V50" s="308" t="s">
        <v>468</v>
      </c>
      <c r="W50" s="344">
        <f t="shared" si="0"/>
        <v>0.37916666666666665</v>
      </c>
      <c r="X50" s="308" t="s">
        <v>492</v>
      </c>
      <c r="Y50" s="346">
        <f t="shared" si="1"/>
        <v>0.37916666666666665</v>
      </c>
      <c r="Z50" s="2"/>
    </row>
    <row r="51" spans="2:26" ht="5.0999999999999996" customHeight="1" x14ac:dyDescent="0.25"/>
  </sheetData>
  <customSheetViews>
    <customSheetView guid="{C95BCE97-951E-4C98-84AE-A423A99BB34B}" showPageBreaks="1" showGridLines="0" fitToPage="1" printArea="1">
      <selection activeCell="K36" sqref="K36"/>
      <pageMargins left="0.5" right="1" top="0.85" bottom="0.8" header="0.5" footer="0.35"/>
      <printOptions horizontalCentered="1"/>
      <pageSetup scale="90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25" showGridLines="0" fitToPage="1" topLeftCell="A31">
      <selection activeCell="C25" sqref="C25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>
      <selection activeCell="P17" sqref="P17"/>
      <pageMargins left="0.5" right="1" top="0.85" bottom="0.8" header="0.5" footer="0.35"/>
      <pageSetup scale="94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9">
    <mergeCell ref="S15:T15"/>
    <mergeCell ref="S16:T16"/>
    <mergeCell ref="S20:T20"/>
    <mergeCell ref="S21:T21"/>
    <mergeCell ref="S22:T22"/>
    <mergeCell ref="N13:P13"/>
    <mergeCell ref="N32:O32"/>
    <mergeCell ref="N31:O31"/>
    <mergeCell ref="N17:P17"/>
    <mergeCell ref="C27:P27"/>
    <mergeCell ref="C28:P28"/>
    <mergeCell ref="C29:P29"/>
    <mergeCell ref="N15:P15"/>
    <mergeCell ref="N16:P16"/>
    <mergeCell ref="C7:P7"/>
    <mergeCell ref="C8:P8"/>
    <mergeCell ref="C9:P9"/>
    <mergeCell ref="N11:P11"/>
    <mergeCell ref="N12:P12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0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4" width="3.7109375" style="3" customWidth="1"/>
    <col min="5" max="5" width="7" style="3" customWidth="1"/>
    <col min="6" max="6" width="8.28515625" style="3" customWidth="1"/>
    <col min="7" max="7" width="3.7109375" style="3" customWidth="1"/>
    <col min="8" max="8" width="28.85546875" style="3" customWidth="1"/>
    <col min="9" max="9" width="22" style="3" customWidth="1"/>
    <col min="10" max="10" width="9.140625" style="3"/>
    <col min="11" max="11" width="17.7109375" style="3" customWidth="1"/>
    <col min="12" max="13" width="2.7109375" style="3" customWidth="1"/>
    <col min="14" max="15" width="9.140625" style="3"/>
    <col min="16" max="16" width="10.5703125" style="318" hidden="1" customWidth="1"/>
    <col min="17" max="17" width="2.7109375" style="318" hidden="1" customWidth="1"/>
    <col min="18" max="18" width="10.5703125" style="318" hidden="1" customWidth="1"/>
    <col min="19" max="19" width="2.7109375" style="318" hidden="1" customWidth="1"/>
    <col min="20" max="20" width="9.28515625" style="318" hidden="1" customWidth="1"/>
    <col min="21" max="21" width="4.42578125" style="318" hidden="1" customWidth="1"/>
    <col min="22" max="22" width="9.42578125" style="318" hidden="1" customWidth="1"/>
    <col min="23" max="16384" width="9.140625" style="3"/>
  </cols>
  <sheetData>
    <row r="1" spans="2:22" ht="30" customHeight="1" x14ac:dyDescent="0.25"/>
    <row r="2" spans="2:22" ht="15" customHeight="1" x14ac:dyDescent="0.25">
      <c r="B2" s="6" t="s">
        <v>555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2" ht="15" customHeight="1" x14ac:dyDescent="0.25">
      <c r="B3" s="10" t="s">
        <v>355</v>
      </c>
      <c r="C3" s="3" t="s">
        <v>5</v>
      </c>
    </row>
    <row r="4" spans="2:22" ht="15" customHeight="1" x14ac:dyDescent="0.25">
      <c r="C4" s="3" t="s">
        <v>544</v>
      </c>
    </row>
    <row r="5" spans="2:22" ht="15" customHeight="1" x14ac:dyDescent="0.25">
      <c r="C5" s="3" t="s">
        <v>545</v>
      </c>
    </row>
    <row r="6" spans="2:22" ht="15" customHeight="1" x14ac:dyDescent="0.25">
      <c r="C6" s="3" t="s">
        <v>546</v>
      </c>
    </row>
    <row r="7" spans="2:22" ht="15" customHeight="1" x14ac:dyDescent="0.25">
      <c r="C7" s="3" t="s">
        <v>547</v>
      </c>
    </row>
    <row r="8" spans="2:22" ht="13.5" customHeight="1" x14ac:dyDescent="0.25">
      <c r="C8" s="54" t="s">
        <v>548</v>
      </c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2:22" ht="13.5" customHeight="1" x14ac:dyDescent="0.25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2:22" ht="15.75" customHeight="1" x14ac:dyDescent="0.25">
      <c r="B10" s="3" t="s">
        <v>115</v>
      </c>
      <c r="F10" s="168"/>
    </row>
    <row r="11" spans="2:22" ht="15.75" customHeight="1" x14ac:dyDescent="0.25">
      <c r="C11" s="62" t="s">
        <v>536</v>
      </c>
      <c r="D11" s="62"/>
      <c r="F11" s="168"/>
    </row>
    <row r="12" spans="2:22" ht="15.6" customHeight="1" x14ac:dyDescent="0.25">
      <c r="C12" s="62" t="s">
        <v>537</v>
      </c>
      <c r="D12" s="62"/>
      <c r="F12" s="168"/>
      <c r="P12" s="299"/>
      <c r="Q12" s="299"/>
      <c r="R12" s="299"/>
      <c r="S12" s="299"/>
      <c r="T12" s="299"/>
      <c r="V12" s="300"/>
    </row>
    <row r="13" spans="2:22" ht="5.0999999999999996" customHeight="1" x14ac:dyDescent="0.25">
      <c r="F13" s="168"/>
    </row>
    <row r="14" spans="2:22" ht="15.75" customHeight="1" x14ac:dyDescent="0.25">
      <c r="C14" s="62" t="s">
        <v>337</v>
      </c>
      <c r="D14" s="3" t="str">
        <f>CONCATENATE("=  ",TEXT(P14,"$#,##0"),Q14,TEXT(R14,"$#,##0"),S14,TEXT(T14,"$#,##0"))</f>
        <v>=  $10,000 + $45,000 – $15,000</v>
      </c>
      <c r="F14" s="168"/>
      <c r="P14" s="308">
        <v>10000</v>
      </c>
      <c r="Q14" s="308" t="s">
        <v>467</v>
      </c>
      <c r="R14" s="308">
        <v>45000</v>
      </c>
      <c r="S14" s="308" t="s">
        <v>470</v>
      </c>
      <c r="T14" s="308">
        <v>15000</v>
      </c>
      <c r="U14" s="308" t="s">
        <v>468</v>
      </c>
      <c r="V14" s="308">
        <f>SUM(P14+R14-T14)</f>
        <v>40000</v>
      </c>
    </row>
    <row r="15" spans="2:22" ht="15.6" customHeight="1" x14ac:dyDescent="0.25">
      <c r="B15" s="6"/>
      <c r="C15" s="6"/>
      <c r="D15" s="68" t="str">
        <f>CONCATENATE("=  ",TEXT(V14,"$#,##0"))</f>
        <v>=  $40,000</v>
      </c>
      <c r="E15" s="6"/>
      <c r="F15" s="217"/>
      <c r="G15" s="6"/>
      <c r="H15" s="6"/>
      <c r="I15" s="6"/>
      <c r="J15" s="6"/>
      <c r="K15" s="6"/>
      <c r="L15" s="6"/>
      <c r="M15" s="6"/>
    </row>
    <row r="16" spans="2:22" ht="5.0999999999999996" customHeight="1" x14ac:dyDescent="0.25">
      <c r="B16" s="6"/>
      <c r="C16" s="67"/>
      <c r="D16" s="156"/>
      <c r="E16" s="67"/>
      <c r="F16" s="218"/>
      <c r="G16" s="67"/>
      <c r="H16" s="67"/>
      <c r="I16" s="67"/>
      <c r="J16" s="67"/>
      <c r="K16" s="6"/>
      <c r="L16" s="6"/>
      <c r="M16" s="6"/>
    </row>
    <row r="17" spans="2:22" ht="5.0999999999999996" customHeight="1" x14ac:dyDescent="0.25">
      <c r="B17" s="6"/>
      <c r="C17" s="6"/>
      <c r="D17" s="6"/>
      <c r="E17" s="6"/>
      <c r="F17" s="217"/>
      <c r="G17" s="6"/>
      <c r="H17" s="6"/>
      <c r="I17" s="6"/>
      <c r="J17" s="6"/>
      <c r="K17" s="6"/>
      <c r="L17" s="6"/>
      <c r="M17" s="6"/>
      <c r="T17" s="308"/>
    </row>
    <row r="18" spans="2:22" ht="15.75" customHeight="1" x14ac:dyDescent="0.25">
      <c r="C18" s="62" t="s">
        <v>6</v>
      </c>
      <c r="D18" s="62"/>
      <c r="F18" s="168"/>
    </row>
    <row r="19" spans="2:22" ht="15.6" customHeight="1" x14ac:dyDescent="0.25">
      <c r="C19" s="62" t="s">
        <v>7</v>
      </c>
      <c r="D19" s="62"/>
      <c r="F19" s="168"/>
    </row>
    <row r="20" spans="2:22" ht="5.0999999999999996" customHeight="1" x14ac:dyDescent="0.25">
      <c r="F20" s="168"/>
    </row>
    <row r="21" spans="2:22" ht="15.75" customHeight="1" x14ac:dyDescent="0.25">
      <c r="C21" s="62" t="s">
        <v>549</v>
      </c>
      <c r="D21" s="62"/>
      <c r="F21" s="168"/>
    </row>
    <row r="22" spans="2:22" ht="15.6" customHeight="1" x14ac:dyDescent="0.25">
      <c r="C22" s="62" t="s">
        <v>550</v>
      </c>
      <c r="D22" s="62"/>
      <c r="F22" s="168"/>
    </row>
    <row r="23" spans="2:22" ht="15.6" customHeight="1" x14ac:dyDescent="0.25">
      <c r="C23" s="62" t="s">
        <v>551</v>
      </c>
      <c r="D23" s="62"/>
      <c r="F23" s="168"/>
      <c r="P23" s="302"/>
      <c r="R23" s="308"/>
      <c r="T23" s="299"/>
      <c r="U23" s="299"/>
      <c r="V23" s="299"/>
    </row>
    <row r="24" spans="2:22" ht="5.0999999999999996" customHeight="1" x14ac:dyDescent="0.25">
      <c r="F24" s="168"/>
    </row>
    <row r="25" spans="2:22" ht="15.75" customHeight="1" x14ac:dyDescent="0.25">
      <c r="C25" s="62" t="str">
        <f>CONCATENATE("b = ",P25,Q25,TEXT(R25,"$#,##0")," (from a)",S25,TEXT(T25,"$#,##0"),U25,TEXT(V25,"$#,##0"),Q27,TEXT(R27,"$#,##0"))</f>
        <v>b = COGM – $40,000 (from a) – $80,000 – $17,000 + $14,000</v>
      </c>
      <c r="D25" s="62"/>
      <c r="F25" s="168"/>
      <c r="P25" s="308" t="s">
        <v>207</v>
      </c>
      <c r="Q25" s="308" t="s">
        <v>470</v>
      </c>
      <c r="R25" s="308">
        <f>V14</f>
        <v>40000</v>
      </c>
      <c r="S25" s="308" t="s">
        <v>470</v>
      </c>
      <c r="T25" s="308">
        <v>80000</v>
      </c>
      <c r="U25" s="308" t="s">
        <v>470</v>
      </c>
      <c r="V25" s="308">
        <v>17000</v>
      </c>
    </row>
    <row r="26" spans="2:22" ht="5.0999999999999996" customHeight="1" x14ac:dyDescent="0.25">
      <c r="F26" s="168"/>
    </row>
    <row r="27" spans="2:22" ht="17.100000000000001" customHeight="1" x14ac:dyDescent="0.25">
      <c r="C27" s="62" t="s">
        <v>8</v>
      </c>
      <c r="D27" s="62"/>
      <c r="F27" s="168"/>
      <c r="Q27" s="308" t="s">
        <v>467</v>
      </c>
      <c r="R27" s="308">
        <v>14000</v>
      </c>
      <c r="S27" s="308" t="s">
        <v>468</v>
      </c>
      <c r="T27" s="308" t="s">
        <v>206</v>
      </c>
    </row>
    <row r="28" spans="2:22" ht="15.6" customHeight="1" x14ac:dyDescent="0.25">
      <c r="C28" s="62" t="s">
        <v>9</v>
      </c>
      <c r="D28" s="62"/>
      <c r="F28" s="168"/>
      <c r="Q28" s="299"/>
      <c r="R28" s="299"/>
      <c r="S28" s="299"/>
      <c r="T28" s="299"/>
    </row>
    <row r="29" spans="2:22" ht="5.0999999999999996" customHeight="1" x14ac:dyDescent="0.25">
      <c r="F29" s="168"/>
    </row>
    <row r="30" spans="2:22" ht="15.75" customHeight="1" x14ac:dyDescent="0.25">
      <c r="C30" s="62" t="s">
        <v>552</v>
      </c>
      <c r="D30" s="62"/>
      <c r="F30" s="168"/>
    </row>
    <row r="31" spans="2:22" ht="15.6" customHeight="1" x14ac:dyDescent="0.25">
      <c r="C31" s="62" t="s">
        <v>553</v>
      </c>
      <c r="D31" s="62"/>
      <c r="F31" s="168"/>
      <c r="P31" s="299"/>
      <c r="Q31" s="299"/>
      <c r="R31" s="299"/>
      <c r="S31" s="299"/>
      <c r="T31" s="299"/>
      <c r="U31" s="299"/>
      <c r="V31" s="300"/>
    </row>
    <row r="32" spans="2:22" ht="5.0999999999999996" customHeight="1" x14ac:dyDescent="0.25">
      <c r="B32" s="62"/>
      <c r="F32" s="168"/>
    </row>
    <row r="33" spans="3:22" ht="15.75" customHeight="1" x14ac:dyDescent="0.25">
      <c r="C33" s="54" t="s">
        <v>207</v>
      </c>
      <c r="E33" s="103" t="str">
        <f>CONCATENATE("=  ",TEXT(P33,"$#,##0"),Q33,TEXT(R33,"$#,##0"),S33,TEXT(T33,"$#,##0"))</f>
        <v>=  $169,000 – $8,000 + $7,000</v>
      </c>
      <c r="F33" s="54"/>
      <c r="G33" s="54"/>
      <c r="H33" s="54"/>
      <c r="I33" s="54"/>
      <c r="J33" s="54"/>
      <c r="K33" s="54"/>
      <c r="L33" s="54"/>
      <c r="M33" s="54"/>
      <c r="P33" s="308">
        <v>169000</v>
      </c>
      <c r="Q33" s="308" t="s">
        <v>470</v>
      </c>
      <c r="R33" s="308">
        <v>8000</v>
      </c>
      <c r="S33" s="308" t="s">
        <v>467</v>
      </c>
      <c r="T33" s="308">
        <v>7000</v>
      </c>
      <c r="U33" s="308" t="s">
        <v>468</v>
      </c>
      <c r="V33" s="308">
        <f>SUM(P33-R33+T33)</f>
        <v>168000</v>
      </c>
    </row>
    <row r="34" spans="3:22" ht="15.6" customHeight="1" x14ac:dyDescent="0.25">
      <c r="C34" s="54"/>
      <c r="E34" s="129" t="str">
        <f>CONCATENATE("=  ",TEXT(V33,"$#,##0"))</f>
        <v>=  $168,000</v>
      </c>
      <c r="F34" s="54"/>
      <c r="G34" s="54"/>
      <c r="H34" s="54"/>
      <c r="I34" s="54"/>
      <c r="J34" s="54"/>
      <c r="K34" s="54"/>
      <c r="L34" s="54"/>
      <c r="M34" s="54"/>
    </row>
    <row r="35" spans="3:22" ht="5.0999999999999996" customHeight="1" x14ac:dyDescent="0.25">
      <c r="P35" s="347"/>
      <c r="R35" s="348"/>
    </row>
    <row r="36" spans="3:22" ht="15.75" customHeight="1" x14ac:dyDescent="0.25">
      <c r="C36" s="62" t="s">
        <v>134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P36" s="347"/>
      <c r="R36" s="348"/>
      <c r="T36" s="302"/>
      <c r="V36" s="302"/>
    </row>
    <row r="37" spans="3:22" ht="5.0999999999999996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P37" s="347"/>
      <c r="R37" s="348"/>
    </row>
    <row r="38" spans="3:22" ht="15.75" customHeight="1" x14ac:dyDescent="0.25">
      <c r="C38" s="133" t="s">
        <v>338</v>
      </c>
      <c r="D38" s="133" t="str">
        <f>CONCATENATE("=  ",TEXT(P38,"$#,##0"),Q38,TEXT(R38,"$#,##0"),S38,TEXT(T38,"$#,##0"),U38,TEXT(V38,"$#,##0"),Q39,TEXT(R39,"$#,##0"))</f>
        <v>=  $168,000 – $40,000 – $80,000 – $17,000 + $14,000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P38" s="308">
        <f>V33</f>
        <v>168000</v>
      </c>
      <c r="Q38" s="308" t="s">
        <v>470</v>
      </c>
      <c r="R38" s="308">
        <f>R25</f>
        <v>40000</v>
      </c>
      <c r="S38" s="308" t="s">
        <v>470</v>
      </c>
      <c r="T38" s="308">
        <f>T25</f>
        <v>80000</v>
      </c>
      <c r="U38" s="308" t="s">
        <v>470</v>
      </c>
      <c r="V38" s="308">
        <f>V25</f>
        <v>17000</v>
      </c>
    </row>
    <row r="39" spans="3:22" ht="15.6" customHeight="1" x14ac:dyDescent="0.25">
      <c r="C39" s="62"/>
      <c r="D39" s="134" t="str">
        <f>CONCATENATE("=  ",TEXT(T39,"$#,##0"))</f>
        <v>=  $45,000</v>
      </c>
      <c r="E39" s="62"/>
      <c r="F39" s="68"/>
      <c r="G39" s="68"/>
      <c r="H39" s="68"/>
      <c r="I39" s="68"/>
      <c r="J39" s="68"/>
      <c r="K39" s="68"/>
      <c r="L39" s="68"/>
      <c r="M39" s="62"/>
      <c r="N39" s="62"/>
      <c r="Q39" s="308" t="s">
        <v>467</v>
      </c>
      <c r="R39" s="308">
        <f>R27</f>
        <v>14000</v>
      </c>
      <c r="S39" s="308" t="s">
        <v>468</v>
      </c>
      <c r="T39" s="308">
        <f>SUM(P38-R38-T38-V38+R39)</f>
        <v>45000</v>
      </c>
    </row>
    <row r="40" spans="3:22" ht="5.0999999999999996" customHeight="1" x14ac:dyDescent="0.25">
      <c r="C40" s="156"/>
      <c r="D40" s="156"/>
      <c r="E40" s="156"/>
      <c r="F40" s="156"/>
      <c r="G40" s="156"/>
      <c r="H40" s="156"/>
      <c r="I40" s="156"/>
      <c r="J40" s="156"/>
      <c r="K40" s="68"/>
      <c r="L40" s="68"/>
      <c r="M40" s="68"/>
      <c r="N40" s="62"/>
    </row>
    <row r="41" spans="3:22" ht="5.0999999999999996" customHeight="1" x14ac:dyDescent="0.25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2"/>
    </row>
    <row r="42" spans="3:22" ht="15.75" customHeight="1" x14ac:dyDescent="0.25">
      <c r="C42" s="68" t="s">
        <v>554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2"/>
      <c r="R42" s="300"/>
      <c r="S42" s="300"/>
      <c r="T42" s="300"/>
      <c r="U42" s="300"/>
    </row>
    <row r="43" spans="3:22" ht="15.6" customHeight="1" x14ac:dyDescent="0.25">
      <c r="C43" s="68" t="str">
        <f>CONCATENATE("Inventory for Year 1 = ",TEXT(P43,"$#,##0"))</f>
        <v>Inventory for Year 1 = $15,000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2"/>
      <c r="P43" s="308">
        <v>15000</v>
      </c>
      <c r="R43" s="300"/>
    </row>
    <row r="44" spans="3:22" ht="5.0999999999999996" customHeight="1" x14ac:dyDescent="0.25">
      <c r="C44" s="156"/>
      <c r="D44" s="156"/>
      <c r="E44" s="156"/>
      <c r="F44" s="156"/>
      <c r="G44" s="156"/>
      <c r="H44" s="156"/>
      <c r="I44" s="156"/>
      <c r="J44" s="156"/>
      <c r="K44" s="68"/>
      <c r="L44" s="68"/>
      <c r="M44" s="68"/>
      <c r="N44" s="62"/>
    </row>
    <row r="45" spans="3:22" ht="5.0999999999999996" customHeight="1" x14ac:dyDescent="0.25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2"/>
    </row>
    <row r="46" spans="3:22" ht="15.75" customHeight="1" x14ac:dyDescent="0.25">
      <c r="C46" s="68" t="s">
        <v>538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2"/>
    </row>
    <row r="47" spans="3:22" ht="15.6" customHeight="1" x14ac:dyDescent="0.25">
      <c r="C47" s="68" t="s">
        <v>539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2"/>
      <c r="P47" s="302"/>
      <c r="R47" s="302"/>
      <c r="T47" s="302"/>
      <c r="V47" s="300"/>
    </row>
    <row r="48" spans="3:22" ht="5.0999999999999996" customHeight="1" x14ac:dyDescent="0.25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2"/>
    </row>
    <row r="49" spans="2:23" ht="15.75" customHeight="1" x14ac:dyDescent="0.25">
      <c r="C49" s="134" t="s">
        <v>341</v>
      </c>
      <c r="D49" s="133" t="str">
        <f>CONCATENATE("=  ",TEXT(P49,"$#,##0"),Q49,TEXT(R49,"$#,##0"),S49,TEXT(T49,"$#,##0"),)</f>
        <v>=  $50,000 – $15,000 + $17,000</v>
      </c>
      <c r="E49" s="68"/>
      <c r="F49" s="68"/>
      <c r="G49" s="68"/>
      <c r="H49" s="68"/>
      <c r="I49" s="68"/>
      <c r="J49" s="68"/>
      <c r="K49" s="68"/>
      <c r="L49" s="68"/>
      <c r="M49" s="68"/>
      <c r="N49" s="62"/>
      <c r="P49" s="308">
        <v>50000</v>
      </c>
      <c r="Q49" s="308" t="s">
        <v>470</v>
      </c>
      <c r="R49" s="308">
        <f>P43</f>
        <v>15000</v>
      </c>
      <c r="S49" s="308" t="s">
        <v>467</v>
      </c>
      <c r="T49" s="308">
        <v>17000</v>
      </c>
      <c r="U49" s="308" t="s">
        <v>468</v>
      </c>
      <c r="V49" s="308">
        <f>SUM(P49-R49+T49)</f>
        <v>52000</v>
      </c>
    </row>
    <row r="50" spans="2:23" ht="15.6" customHeight="1" x14ac:dyDescent="0.25">
      <c r="C50" s="68"/>
      <c r="D50" s="134" t="str">
        <f>CONCATENATE("=  ",TEXT(V49,"$#,##0"))</f>
        <v>=  $52,000</v>
      </c>
      <c r="E50" s="68"/>
      <c r="F50" s="68"/>
      <c r="G50" s="68"/>
      <c r="H50" s="68"/>
      <c r="I50" s="68"/>
      <c r="J50" s="68"/>
      <c r="K50" s="68"/>
      <c r="L50" s="68"/>
      <c r="M50" s="68"/>
      <c r="N50" s="62"/>
      <c r="O50" s="62"/>
    </row>
    <row r="51" spans="2:23" ht="5.0999999999999996" customHeight="1" x14ac:dyDescent="0.25">
      <c r="C51" s="156"/>
      <c r="D51" s="156"/>
      <c r="E51" s="156"/>
      <c r="F51" s="156"/>
      <c r="G51" s="156"/>
      <c r="H51" s="156"/>
      <c r="I51" s="156"/>
      <c r="J51" s="156"/>
      <c r="K51" s="68"/>
      <c r="L51" s="68"/>
      <c r="M51" s="68"/>
      <c r="N51" s="62"/>
      <c r="O51" s="62"/>
    </row>
    <row r="52" spans="2:23" ht="5.0999999999999996" customHeight="1" x14ac:dyDescent="0.25"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2"/>
      <c r="O52" s="62"/>
    </row>
    <row r="53" spans="2:23" ht="15.75" customHeight="1" x14ac:dyDescent="0.25">
      <c r="B53" s="68"/>
      <c r="C53" s="68" t="s">
        <v>540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2"/>
      <c r="O53" s="62"/>
      <c r="W53" s="62"/>
    </row>
    <row r="54" spans="2:23" ht="15.6" customHeight="1" x14ac:dyDescent="0.25">
      <c r="B54" s="62"/>
      <c r="C54" s="62" t="s">
        <v>541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299"/>
      <c r="Q54" s="299"/>
      <c r="R54" s="299"/>
      <c r="S54" s="299"/>
      <c r="T54" s="299"/>
      <c r="U54" s="299"/>
      <c r="V54" s="299"/>
      <c r="W54" s="62"/>
    </row>
    <row r="55" spans="2:23" ht="5.0999999999999996" customHeigh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W55" s="62"/>
    </row>
    <row r="56" spans="2:23" ht="15" customHeight="1" x14ac:dyDescent="0.25">
      <c r="B56" s="62"/>
      <c r="C56" s="62" t="str">
        <f>CONCATENATE("e = ",TEXT(P56,"$#,##0"),Q56,R56,S56,TEXT(T56,"$#,##0"),"; therefore, we must first calculate COGM to be able to")</f>
        <v>e = $7,000 + COGM – $11,000; therefore, we must first calculate COGM to be able to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P56" s="308">
        <v>7000</v>
      </c>
      <c r="Q56" s="308" t="s">
        <v>467</v>
      </c>
      <c r="R56" s="308" t="s">
        <v>207</v>
      </c>
      <c r="S56" s="308" t="s">
        <v>470</v>
      </c>
      <c r="T56" s="308">
        <v>11000</v>
      </c>
      <c r="U56" s="308" t="s">
        <v>468</v>
      </c>
      <c r="V56" s="308" t="s">
        <v>721</v>
      </c>
      <c r="W56" s="62"/>
    </row>
    <row r="57" spans="2:23" ht="15.6" customHeight="1" x14ac:dyDescent="0.25">
      <c r="B57" s="62"/>
      <c r="C57" s="62" t="s">
        <v>10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W57" s="62"/>
    </row>
    <row r="58" spans="2:23" ht="5.0999999999999996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W58" s="62"/>
    </row>
    <row r="59" spans="2:23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W59" s="62"/>
    </row>
    <row r="60" spans="2:23" x14ac:dyDescent="0.25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W60" s="62"/>
    </row>
  </sheetData>
  <mergeCells count="7">
    <mergeCell ref="P54:V54"/>
    <mergeCell ref="P12:T12"/>
    <mergeCell ref="T23:V23"/>
    <mergeCell ref="Q28:T28"/>
    <mergeCell ref="P31:U31"/>
    <mergeCell ref="P35:P37"/>
    <mergeCell ref="R35:R37"/>
  </mergeCells>
  <phoneticPr fontId="2" type="noConversion"/>
  <printOptions horizontalCentered="1"/>
  <pageMargins left="1" right="0.7" top="0.85" bottom="0.8" header="0.5" footer="0.35"/>
  <pageSetup scale="93" orientation="portrait" r:id="rId1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2.5703125" style="3" customWidth="1"/>
    <col min="3" max="4" width="3.7109375" style="3" customWidth="1"/>
    <col min="5" max="5" width="7" style="3" customWidth="1"/>
    <col min="6" max="6" width="8.28515625" style="3" customWidth="1"/>
    <col min="7" max="7" width="3.7109375" style="3" customWidth="1"/>
    <col min="8" max="8" width="34" style="3" customWidth="1"/>
    <col min="9" max="9" width="19" style="3" customWidth="1"/>
    <col min="10" max="10" width="8.28515625" style="3" customWidth="1"/>
    <col min="11" max="11" width="17.7109375" style="3" customWidth="1"/>
    <col min="12" max="13" width="2.7109375" style="3" customWidth="1"/>
    <col min="14" max="15" width="9.140625" style="3"/>
    <col min="16" max="16" width="10.5703125" style="318" hidden="1" customWidth="1"/>
    <col min="17" max="17" width="2.7109375" style="318" hidden="1" customWidth="1"/>
    <col min="18" max="18" width="10.5703125" style="318" hidden="1" customWidth="1"/>
    <col min="19" max="19" width="2.7109375" style="318" hidden="1" customWidth="1"/>
    <col min="20" max="20" width="9.28515625" style="318" hidden="1" customWidth="1"/>
    <col min="21" max="21" width="4.42578125" style="318" hidden="1" customWidth="1"/>
    <col min="22" max="22" width="9.42578125" style="318" hidden="1" customWidth="1"/>
    <col min="23" max="16384" width="9.140625" style="3"/>
  </cols>
  <sheetData>
    <row r="1" spans="2:23" ht="30" customHeight="1" x14ac:dyDescent="0.25"/>
    <row r="2" spans="2:23" ht="15" customHeight="1" x14ac:dyDescent="0.25">
      <c r="B2" s="6" t="s">
        <v>556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3" ht="5.0999999999999996" customHeight="1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W3" s="62"/>
    </row>
    <row r="4" spans="2:23" x14ac:dyDescent="0.25">
      <c r="B4" s="62"/>
      <c r="C4" s="62" t="s">
        <v>542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W4" s="62"/>
    </row>
    <row r="5" spans="2:23" ht="15.6" customHeight="1" x14ac:dyDescent="0.25">
      <c r="B5" s="62"/>
      <c r="C5" s="62" t="s">
        <v>543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W5" s="62"/>
    </row>
    <row r="6" spans="2:23" ht="5.0999999999999996" customHeight="1" x14ac:dyDescent="0.2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W6" s="62"/>
    </row>
    <row r="7" spans="2:23" x14ac:dyDescent="0.25">
      <c r="B7" s="62"/>
      <c r="C7" s="133" t="s">
        <v>207</v>
      </c>
      <c r="D7" s="62"/>
      <c r="E7" s="133" t="str">
        <f>CONCATENATE("=  ",TEXT(P7,"$#,##0"),Q7,TEXT(R7,"$#,##0"),S7,TEXT(T7,"$#,##0"),U7,TEXT(V7,"$#,##0"),Q8,TEXT(R8,"$#,##0"))</f>
        <v>=  $50,000 + $53,000 + $76,000 + $14,000 – $19,000</v>
      </c>
      <c r="F7" s="62"/>
      <c r="G7" s="62"/>
      <c r="H7" s="62"/>
      <c r="I7" s="62"/>
      <c r="J7" s="62"/>
      <c r="K7" s="62"/>
      <c r="L7" s="62"/>
      <c r="M7" s="62"/>
      <c r="N7" s="62"/>
      <c r="P7" s="308">
        <v>50000</v>
      </c>
      <c r="Q7" s="308" t="s">
        <v>467</v>
      </c>
      <c r="R7" s="308">
        <v>53000</v>
      </c>
      <c r="S7" s="308" t="s">
        <v>467</v>
      </c>
      <c r="T7" s="308">
        <v>76000</v>
      </c>
      <c r="U7" s="308" t="s">
        <v>467</v>
      </c>
      <c r="V7" s="308">
        <v>14000</v>
      </c>
      <c r="W7" s="62"/>
    </row>
    <row r="8" spans="2:23" ht="15.6" customHeight="1" x14ac:dyDescent="0.25">
      <c r="B8" s="62"/>
      <c r="C8" s="62"/>
      <c r="D8" s="62"/>
      <c r="E8" s="134" t="str">
        <f>CONCATENATE("=  ",TEXT(T8,"$#,##0"))</f>
        <v>=  $174,000</v>
      </c>
      <c r="F8" s="62"/>
      <c r="G8" s="62"/>
      <c r="H8" s="62"/>
      <c r="I8" s="62"/>
      <c r="J8" s="62"/>
      <c r="K8" s="62"/>
      <c r="L8" s="62"/>
      <c r="M8" s="62"/>
      <c r="N8" s="62"/>
      <c r="Q8" s="308" t="s">
        <v>470</v>
      </c>
      <c r="R8" s="308">
        <v>19000</v>
      </c>
      <c r="S8" s="308" t="s">
        <v>468</v>
      </c>
      <c r="T8" s="308">
        <f>SUM(P7+R7+T7+V7-R8)</f>
        <v>174000</v>
      </c>
      <c r="W8" s="62"/>
    </row>
    <row r="9" spans="2:23" ht="5.0999999999999996" customHeight="1" x14ac:dyDescent="0.25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W9" s="62"/>
    </row>
    <row r="10" spans="2:23" x14ac:dyDescent="0.25">
      <c r="B10" s="62"/>
      <c r="C10" s="280" t="s">
        <v>453</v>
      </c>
      <c r="D10" s="280"/>
      <c r="E10" s="280"/>
      <c r="F10" s="184" t="str">
        <f>CONCATENATE("=  ",TEXT(P10,"$#,##0"),Q10,TEXT(R10,"$#,##0"),S10,TEXT(T10,"$#,##0"),)</f>
        <v>=  $7,000 + $174,000 – $11,000</v>
      </c>
      <c r="G10" s="62"/>
      <c r="H10" s="62"/>
      <c r="I10" s="62"/>
      <c r="J10" s="62"/>
      <c r="K10" s="62"/>
      <c r="L10" s="62"/>
      <c r="M10" s="62"/>
      <c r="N10" s="62"/>
      <c r="P10" s="308">
        <f>'2-15'!P56</f>
        <v>7000</v>
      </c>
      <c r="Q10" s="308" t="s">
        <v>467</v>
      </c>
      <c r="R10" s="308">
        <f>T8</f>
        <v>174000</v>
      </c>
      <c r="S10" s="308" t="s">
        <v>470</v>
      </c>
      <c r="T10" s="308">
        <f>'2-15'!T56</f>
        <v>11000</v>
      </c>
      <c r="U10" s="308" t="s">
        <v>468</v>
      </c>
      <c r="V10" s="308">
        <f>SUM(P10+R10-T10)</f>
        <v>170000</v>
      </c>
      <c r="W10" s="62"/>
    </row>
    <row r="11" spans="2:23" ht="15.6" customHeight="1" x14ac:dyDescent="0.25">
      <c r="B11" s="62"/>
      <c r="C11" s="62"/>
      <c r="E11" s="62"/>
      <c r="F11" s="129" t="str">
        <f>CONCATENATE("=  ",TEXT(V10,"$#,##0"))</f>
        <v>=  $170,000</v>
      </c>
      <c r="G11" s="62"/>
      <c r="H11" s="62"/>
      <c r="I11" s="62"/>
      <c r="J11" s="62"/>
      <c r="K11" s="62"/>
      <c r="L11" s="62"/>
      <c r="M11" s="62"/>
      <c r="N11" s="62"/>
      <c r="O11" s="62"/>
      <c r="W11" s="62"/>
    </row>
    <row r="12" spans="2:23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W12" s="62"/>
    </row>
    <row r="13" spans="2:23" x14ac:dyDescent="0.2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W13" s="62"/>
    </row>
  </sheetData>
  <mergeCells count="1">
    <mergeCell ref="C10:E10"/>
  </mergeCells>
  <phoneticPr fontId="2" type="noConversion"/>
  <printOptions horizontalCentered="1"/>
  <pageMargins left="0.7" right="1" top="0.85" bottom="0.8" header="0.5" footer="0.35"/>
  <pageSetup scale="93" orientation="portrait" r:id="rId1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3.42578125" style="3" customWidth="1"/>
    <col min="3" max="3" width="9.140625" style="3"/>
    <col min="4" max="4" width="8.42578125" style="3" customWidth="1"/>
    <col min="5" max="5" width="7.42578125" style="3" customWidth="1"/>
    <col min="6" max="6" width="11.85546875" style="3" customWidth="1"/>
    <col min="7" max="7" width="10.7109375" style="3" customWidth="1"/>
    <col min="8" max="8" width="1.7109375" style="3" customWidth="1"/>
    <col min="9" max="9" width="9.7109375" style="3" customWidth="1"/>
    <col min="10" max="10" width="1.7109375" style="3" customWidth="1"/>
    <col min="11" max="11" width="10.42578125" style="3" customWidth="1"/>
    <col min="12" max="12" width="1.7109375" style="3" customWidth="1"/>
    <col min="13" max="13" width="12.28515625" style="3" customWidth="1"/>
    <col min="14" max="14" width="3.140625" style="3" customWidth="1"/>
    <col min="15" max="16" width="9.140625" style="3"/>
    <col min="17" max="17" width="16" style="300" hidden="1" customWidth="1"/>
    <col min="18" max="18" width="9.28515625" style="300" hidden="1" customWidth="1"/>
    <col min="19" max="19" width="13.42578125" style="225" bestFit="1" customWidth="1"/>
    <col min="20" max="20" width="9.140625" style="225"/>
    <col min="21" max="16384" width="9.140625" style="3"/>
  </cols>
  <sheetData>
    <row r="1" spans="2:20" ht="30" customHeight="1" x14ac:dyDescent="0.25"/>
    <row r="2" spans="2:20" ht="15.75" customHeight="1" x14ac:dyDescent="0.25">
      <c r="B2" s="248" t="s">
        <v>235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2:20" ht="15.75" customHeight="1" x14ac:dyDescent="0.25"/>
    <row r="4" spans="2:20" ht="15.75" customHeight="1" x14ac:dyDescent="0.25">
      <c r="B4" s="6" t="s">
        <v>149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20" ht="5.0999999999999996" customHeight="1" thickBot="1" x14ac:dyDescent="0.3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"/>
    </row>
    <row r="6" spans="2:20" ht="15.75" customHeight="1" x14ac:dyDescent="0.25">
      <c r="B6" s="10" t="s">
        <v>354</v>
      </c>
      <c r="C6" s="40"/>
      <c r="D6" s="40"/>
      <c r="E6" s="40"/>
      <c r="F6" s="40"/>
      <c r="G6" s="8" t="s">
        <v>317</v>
      </c>
      <c r="H6" s="8"/>
      <c r="I6" s="8" t="s">
        <v>317</v>
      </c>
      <c r="J6" s="8"/>
      <c r="K6" s="8" t="s">
        <v>320</v>
      </c>
      <c r="L6" s="8"/>
      <c r="M6" s="281" t="s">
        <v>236</v>
      </c>
      <c r="N6" s="281"/>
      <c r="O6" s="6"/>
      <c r="P6" s="6"/>
      <c r="Q6" s="303" t="s">
        <v>780</v>
      </c>
      <c r="R6" s="306">
        <v>4500</v>
      </c>
      <c r="S6" s="226"/>
      <c r="T6" s="226"/>
    </row>
    <row r="7" spans="2:20" ht="15.75" customHeight="1" thickBot="1" x14ac:dyDescent="0.3">
      <c r="C7" s="257" t="s">
        <v>352</v>
      </c>
      <c r="D7" s="257"/>
      <c r="E7" s="257"/>
      <c r="F7" s="29"/>
      <c r="G7" s="25" t="s">
        <v>318</v>
      </c>
      <c r="H7" s="25"/>
      <c r="I7" s="25" t="s">
        <v>319</v>
      </c>
      <c r="J7" s="25"/>
      <c r="K7" s="25" t="s">
        <v>321</v>
      </c>
      <c r="L7" s="25"/>
      <c r="M7" s="257" t="s">
        <v>324</v>
      </c>
      <c r="N7" s="257"/>
      <c r="O7" s="39"/>
      <c r="P7" s="6"/>
      <c r="Q7" s="303" t="s">
        <v>782</v>
      </c>
      <c r="R7" s="306">
        <v>800</v>
      </c>
      <c r="S7" s="226"/>
      <c r="T7" s="226"/>
    </row>
    <row r="8" spans="2:20" ht="5.0999999999999996" customHeight="1" x14ac:dyDescent="0.25">
      <c r="C8" s="35"/>
      <c r="D8" s="35"/>
      <c r="G8" s="36"/>
      <c r="H8" s="36"/>
      <c r="I8" s="36"/>
      <c r="J8" s="36"/>
      <c r="K8" s="36"/>
      <c r="L8" s="36"/>
      <c r="M8" s="36"/>
      <c r="N8" s="36"/>
      <c r="O8" s="6"/>
      <c r="P8" s="6"/>
      <c r="Q8" s="303"/>
      <c r="R8" s="306"/>
      <c r="S8" s="226"/>
      <c r="T8" s="226"/>
    </row>
    <row r="9" spans="2:20" ht="15.75" customHeight="1" x14ac:dyDescent="0.25">
      <c r="C9" s="35" t="s">
        <v>722</v>
      </c>
      <c r="D9" s="35"/>
      <c r="G9" s="37">
        <f>R6</f>
        <v>4500</v>
      </c>
      <c r="H9" s="37"/>
      <c r="I9" s="35"/>
      <c r="J9" s="35"/>
      <c r="K9" s="35"/>
      <c r="L9" s="35"/>
      <c r="M9" s="35"/>
      <c r="N9" s="35"/>
      <c r="O9" s="6"/>
      <c r="P9" s="41"/>
      <c r="Q9" s="303" t="s">
        <v>781</v>
      </c>
      <c r="R9" s="306">
        <v>1250</v>
      </c>
      <c r="S9" s="226"/>
      <c r="T9" s="226"/>
    </row>
    <row r="10" spans="2:20" ht="15.75" customHeight="1" x14ac:dyDescent="0.25">
      <c r="C10" s="35" t="s">
        <v>723</v>
      </c>
      <c r="D10" s="35"/>
      <c r="G10" s="38">
        <f>R7</f>
        <v>800</v>
      </c>
      <c r="H10" s="38"/>
      <c r="I10" s="35"/>
      <c r="J10" s="35"/>
      <c r="M10" s="35"/>
      <c r="N10" s="35"/>
      <c r="P10" s="6"/>
      <c r="Q10" s="303" t="s">
        <v>783</v>
      </c>
      <c r="R10" s="305">
        <v>600</v>
      </c>
      <c r="T10" s="226"/>
    </row>
    <row r="11" spans="2:20" ht="15.75" customHeight="1" x14ac:dyDescent="0.25">
      <c r="C11" s="35" t="s">
        <v>724</v>
      </c>
      <c r="D11" s="35"/>
      <c r="G11" s="38">
        <f>R9</f>
        <v>1250</v>
      </c>
      <c r="H11" s="38"/>
      <c r="K11" s="35"/>
      <c r="L11" s="35"/>
      <c r="M11" s="35"/>
      <c r="N11" s="35"/>
      <c r="P11" s="6"/>
      <c r="Q11" s="303" t="s">
        <v>784</v>
      </c>
      <c r="R11" s="306">
        <v>660</v>
      </c>
      <c r="T11" s="226"/>
    </row>
    <row r="12" spans="2:20" ht="15.75" customHeight="1" x14ac:dyDescent="0.25">
      <c r="C12" s="35" t="s">
        <v>194</v>
      </c>
      <c r="D12" s="35"/>
      <c r="G12" s="47"/>
      <c r="H12" s="47"/>
      <c r="I12" s="35"/>
      <c r="J12" s="35"/>
      <c r="M12" s="35"/>
      <c r="N12" s="35"/>
      <c r="P12" s="6"/>
      <c r="Q12" s="303" t="s">
        <v>785</v>
      </c>
      <c r="R12" s="306">
        <v>7250</v>
      </c>
      <c r="T12" s="226"/>
    </row>
    <row r="13" spans="2:20" ht="15.75" customHeight="1" x14ac:dyDescent="0.25">
      <c r="C13" s="116" t="s">
        <v>193</v>
      </c>
      <c r="D13" s="35"/>
      <c r="G13" s="38">
        <f>R10</f>
        <v>600</v>
      </c>
      <c r="H13" s="38"/>
      <c r="I13" s="35"/>
      <c r="J13" s="35"/>
      <c r="K13" s="38"/>
      <c r="L13" s="38"/>
      <c r="M13" s="35"/>
      <c r="N13" s="35"/>
      <c r="P13" s="6"/>
      <c r="Q13" s="303" t="s">
        <v>786</v>
      </c>
      <c r="R13" s="306">
        <v>3000</v>
      </c>
      <c r="T13" s="226"/>
    </row>
    <row r="14" spans="2:20" ht="15.75" customHeight="1" x14ac:dyDescent="0.25">
      <c r="C14" s="35" t="s">
        <v>725</v>
      </c>
      <c r="D14" s="35"/>
      <c r="G14" s="38">
        <f>R11</f>
        <v>660</v>
      </c>
      <c r="H14" s="38"/>
      <c r="I14" s="35"/>
      <c r="J14" s="35"/>
      <c r="M14" s="35"/>
      <c r="N14" s="35"/>
      <c r="P14" s="6"/>
      <c r="Q14" s="303" t="s">
        <v>787</v>
      </c>
      <c r="R14" s="306">
        <v>1500</v>
      </c>
      <c r="T14" s="226"/>
    </row>
    <row r="15" spans="2:20" ht="15.75" customHeight="1" x14ac:dyDescent="0.25">
      <c r="C15" s="35" t="s">
        <v>34</v>
      </c>
      <c r="D15" s="35"/>
      <c r="G15" s="35" t="s">
        <v>380</v>
      </c>
      <c r="H15" s="35"/>
      <c r="I15" s="37">
        <f>R12</f>
        <v>7250</v>
      </c>
      <c r="J15" s="37"/>
      <c r="K15" s="38"/>
      <c r="L15" s="38"/>
      <c r="M15" s="35"/>
      <c r="N15" s="35"/>
      <c r="P15" s="6"/>
      <c r="Q15" s="303" t="s">
        <v>788</v>
      </c>
      <c r="R15" s="306">
        <v>1800</v>
      </c>
      <c r="T15" s="226"/>
    </row>
    <row r="16" spans="2:20" ht="15.75" customHeight="1" x14ac:dyDescent="0.25">
      <c r="C16" s="35" t="s">
        <v>35</v>
      </c>
      <c r="D16" s="35"/>
      <c r="G16" s="35" t="s">
        <v>380</v>
      </c>
      <c r="H16" s="35"/>
      <c r="I16" s="35"/>
      <c r="J16" s="35"/>
      <c r="M16" s="37">
        <f>R13</f>
        <v>3000</v>
      </c>
      <c r="N16" s="35"/>
      <c r="P16" s="6"/>
      <c r="Q16" s="303" t="s">
        <v>789</v>
      </c>
      <c r="R16" s="306">
        <v>600</v>
      </c>
      <c r="T16" s="226"/>
    </row>
    <row r="17" spans="3:20" ht="15.75" customHeight="1" x14ac:dyDescent="0.25">
      <c r="C17" s="35" t="s">
        <v>36</v>
      </c>
      <c r="D17" s="35"/>
      <c r="G17" s="35" t="s">
        <v>380</v>
      </c>
      <c r="H17" s="35"/>
      <c r="I17" s="35"/>
      <c r="J17" s="35"/>
      <c r="K17" s="37">
        <f>R14</f>
        <v>1500</v>
      </c>
      <c r="L17" s="37"/>
      <c r="N17" s="35"/>
      <c r="P17" s="6"/>
      <c r="Q17" s="303" t="s">
        <v>760</v>
      </c>
      <c r="R17" s="306">
        <v>500</v>
      </c>
      <c r="T17" s="226"/>
    </row>
    <row r="18" spans="3:20" ht="15.75" customHeight="1" x14ac:dyDescent="0.25">
      <c r="C18" s="35" t="s">
        <v>37</v>
      </c>
      <c r="D18" s="35"/>
      <c r="G18" s="35" t="s">
        <v>380</v>
      </c>
      <c r="H18" s="35"/>
      <c r="I18" s="35"/>
      <c r="J18" s="35"/>
      <c r="K18" s="38">
        <f>R15</f>
        <v>1800</v>
      </c>
      <c r="L18" s="38"/>
      <c r="M18" s="35"/>
      <c r="N18" s="35"/>
      <c r="P18" s="6"/>
      <c r="Q18" s="303" t="s">
        <v>790</v>
      </c>
      <c r="R18" s="306">
        <v>520</v>
      </c>
      <c r="T18" s="226"/>
    </row>
    <row r="19" spans="3:20" ht="15.75" customHeight="1" x14ac:dyDescent="0.25">
      <c r="C19" s="35" t="s">
        <v>196</v>
      </c>
      <c r="D19" s="35"/>
      <c r="G19" s="35" t="s">
        <v>380</v>
      </c>
      <c r="H19" s="35"/>
      <c r="I19" s="35"/>
      <c r="J19" s="35"/>
      <c r="K19" s="47"/>
      <c r="L19" s="47"/>
      <c r="N19" s="35"/>
      <c r="P19" s="6"/>
      <c r="Q19" s="303" t="s">
        <v>791</v>
      </c>
      <c r="R19" s="306">
        <v>150</v>
      </c>
      <c r="T19" s="226"/>
    </row>
    <row r="20" spans="3:20" ht="15.75" customHeight="1" x14ac:dyDescent="0.25">
      <c r="C20" s="116" t="s">
        <v>195</v>
      </c>
      <c r="D20" s="35"/>
      <c r="G20" s="35" t="s">
        <v>380</v>
      </c>
      <c r="H20" s="35"/>
      <c r="I20" s="35"/>
      <c r="J20" s="35"/>
      <c r="K20" s="38">
        <f>R16</f>
        <v>600</v>
      </c>
      <c r="L20" s="38"/>
      <c r="M20" s="37"/>
      <c r="N20" s="35"/>
      <c r="P20" s="6"/>
      <c r="Q20" s="303" t="s">
        <v>792</v>
      </c>
      <c r="R20" s="306">
        <v>1500</v>
      </c>
      <c r="T20" s="226"/>
    </row>
    <row r="21" spans="3:20" ht="15.75" customHeight="1" x14ac:dyDescent="0.25">
      <c r="C21" s="35" t="s">
        <v>38</v>
      </c>
      <c r="D21" s="35"/>
      <c r="G21" s="35" t="s">
        <v>380</v>
      </c>
      <c r="H21" s="35"/>
      <c r="I21" s="35"/>
      <c r="J21" s="35"/>
      <c r="K21" s="38"/>
      <c r="L21" s="38"/>
      <c r="M21" s="38">
        <f>R17</f>
        <v>500</v>
      </c>
      <c r="N21" s="35"/>
      <c r="P21" s="6"/>
      <c r="Q21" s="303" t="s">
        <v>793</v>
      </c>
      <c r="R21" s="306">
        <v>4250</v>
      </c>
      <c r="T21" s="226"/>
    </row>
    <row r="22" spans="3:20" ht="15.75" customHeight="1" x14ac:dyDescent="0.25">
      <c r="C22" s="35" t="s">
        <v>39</v>
      </c>
      <c r="D22" s="35"/>
      <c r="G22" s="35" t="s">
        <v>380</v>
      </c>
      <c r="H22" s="35"/>
      <c r="I22" s="35"/>
      <c r="J22" s="35"/>
      <c r="K22" s="38">
        <f>R18</f>
        <v>520</v>
      </c>
      <c r="L22" s="38"/>
      <c r="M22" s="47"/>
      <c r="N22" s="35"/>
      <c r="P22" s="6"/>
      <c r="T22" s="226"/>
    </row>
    <row r="23" spans="3:20" ht="15.75" customHeight="1" x14ac:dyDescent="0.25">
      <c r="C23" s="35" t="s">
        <v>40</v>
      </c>
      <c r="D23" s="35"/>
      <c r="G23" s="35" t="s">
        <v>380</v>
      </c>
      <c r="H23" s="35"/>
      <c r="I23" s="35"/>
      <c r="J23" s="35"/>
      <c r="K23" s="38">
        <f>R19</f>
        <v>150</v>
      </c>
      <c r="L23" s="38"/>
      <c r="M23" s="47"/>
      <c r="N23" s="37"/>
      <c r="P23" s="6"/>
      <c r="T23" s="226"/>
    </row>
    <row r="24" spans="3:20" ht="15.75" customHeight="1" x14ac:dyDescent="0.25">
      <c r="C24" s="35" t="s">
        <v>41</v>
      </c>
      <c r="D24" s="35"/>
      <c r="G24" s="35" t="s">
        <v>380</v>
      </c>
      <c r="H24" s="35"/>
      <c r="I24" s="35"/>
      <c r="J24" s="35"/>
      <c r="M24" s="38">
        <f>R20</f>
        <v>1500</v>
      </c>
      <c r="N24" s="35"/>
      <c r="P24" s="6"/>
      <c r="T24" s="226"/>
    </row>
    <row r="25" spans="3:20" ht="15.75" customHeight="1" x14ac:dyDescent="0.25">
      <c r="C25" s="35" t="s">
        <v>42</v>
      </c>
      <c r="D25" s="35"/>
      <c r="G25" s="35" t="s">
        <v>380</v>
      </c>
      <c r="H25" s="35"/>
      <c r="I25" s="35"/>
      <c r="J25" s="35"/>
      <c r="K25" s="35"/>
      <c r="L25" s="35"/>
      <c r="M25" s="38">
        <f>R21</f>
        <v>4250</v>
      </c>
      <c r="N25" s="109"/>
      <c r="P25" s="6"/>
      <c r="T25" s="226"/>
    </row>
    <row r="26" spans="3:20" ht="15.75" customHeight="1" thickBot="1" x14ac:dyDescent="0.3">
      <c r="C26" s="118" t="s">
        <v>43</v>
      </c>
      <c r="E26" s="6"/>
      <c r="F26" s="6"/>
      <c r="G26" s="135">
        <f>SUM(G9:G25)</f>
        <v>7810</v>
      </c>
      <c r="H26" s="135"/>
      <c r="I26" s="135">
        <f>SUM(I9:I25)</f>
        <v>7250</v>
      </c>
      <c r="J26" s="135"/>
      <c r="K26" s="135">
        <f>SUM(K9:K25)</f>
        <v>4570</v>
      </c>
      <c r="L26" s="135"/>
      <c r="M26" s="135">
        <f>SUM(M9:M25)</f>
        <v>9250</v>
      </c>
      <c r="N26" s="89"/>
      <c r="P26" s="6"/>
      <c r="T26" s="226"/>
    </row>
    <row r="27" spans="3:20" ht="9.75" customHeight="1" thickTop="1" thickBot="1" x14ac:dyDescent="0.3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P27" s="6"/>
      <c r="S27" s="226"/>
      <c r="T27" s="226"/>
    </row>
    <row r="28" spans="3:20" ht="9.75" customHeight="1" x14ac:dyDescent="0.25">
      <c r="P28" s="6"/>
      <c r="S28" s="226"/>
      <c r="T28" s="226"/>
    </row>
    <row r="29" spans="3:20" ht="15.75" customHeight="1" x14ac:dyDescent="0.25">
      <c r="C29" s="48" t="s">
        <v>238</v>
      </c>
      <c r="P29" s="6"/>
      <c r="S29" s="226"/>
      <c r="T29" s="226"/>
    </row>
    <row r="30" spans="3:20" ht="5.0999999999999996" customHeight="1" x14ac:dyDescent="0.25"/>
    <row r="31" spans="3:20" ht="15.75" customHeight="1" x14ac:dyDescent="0.25">
      <c r="C31" s="3" t="s">
        <v>11</v>
      </c>
    </row>
    <row r="32" spans="3:20" ht="15.75" customHeight="1" x14ac:dyDescent="0.25">
      <c r="C32" s="3" t="s">
        <v>557</v>
      </c>
    </row>
    <row r="33" spans="3:3" ht="15.75" customHeight="1" x14ac:dyDescent="0.25">
      <c r="C33" s="3" t="s">
        <v>558</v>
      </c>
    </row>
    <row r="34" spans="3:3" ht="15.75" customHeight="1" x14ac:dyDescent="0.25">
      <c r="C34" s="3" t="s">
        <v>559</v>
      </c>
    </row>
    <row r="35" spans="3:3" ht="15.75" customHeight="1" x14ac:dyDescent="0.25">
      <c r="C35" s="3" t="s">
        <v>561</v>
      </c>
    </row>
    <row r="36" spans="3:3" ht="15.75" customHeight="1" x14ac:dyDescent="0.25">
      <c r="C36" s="3" t="s">
        <v>560</v>
      </c>
    </row>
    <row r="37" spans="3:3" ht="5.0999999999999996" customHeight="1" x14ac:dyDescent="0.25"/>
    <row r="38" spans="3:3" ht="15.75" customHeight="1" x14ac:dyDescent="0.25">
      <c r="C38" s="3" t="s">
        <v>12</v>
      </c>
    </row>
    <row r="39" spans="3:3" ht="5.0999999999999996" customHeight="1" x14ac:dyDescent="0.25"/>
    <row r="40" spans="3:3" ht="15.75" customHeight="1" x14ac:dyDescent="0.25">
      <c r="C40" s="10" t="s">
        <v>13</v>
      </c>
    </row>
    <row r="41" spans="3:3" ht="15.75" customHeight="1" x14ac:dyDescent="0.25">
      <c r="C41" s="3" t="s">
        <v>14</v>
      </c>
    </row>
    <row r="42" spans="3:3" ht="15.75" customHeight="1" x14ac:dyDescent="0.25">
      <c r="C42" s="3" t="s">
        <v>15</v>
      </c>
    </row>
    <row r="43" spans="3:3" ht="5.0999999999999996" customHeight="1" x14ac:dyDescent="0.25"/>
    <row r="44" spans="3:3" ht="15.75" customHeight="1" x14ac:dyDescent="0.25">
      <c r="C44" s="3" t="s">
        <v>16</v>
      </c>
    </row>
    <row r="45" spans="3:3" ht="15.75" customHeight="1" x14ac:dyDescent="0.25">
      <c r="C45" s="3" t="s">
        <v>17</v>
      </c>
    </row>
    <row r="46" spans="3:3" ht="5.0999999999999996" customHeight="1" x14ac:dyDescent="0.25"/>
    <row r="47" spans="3:3" ht="15.75" customHeight="1" x14ac:dyDescent="0.25"/>
    <row r="48" spans="3:3" ht="15.75" customHeight="1" x14ac:dyDescent="0.25"/>
    <row r="49" ht="15.75" customHeight="1" x14ac:dyDescent="0.25"/>
    <row r="50" ht="15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customSheetViews>
    <customSheetView guid="{C95BCE97-951E-4C98-84AE-A423A99BB34B}" showPageBreaks="1" fitToPage="1" printArea="1" topLeftCell="A7">
      <selection activeCell="J1" sqref="J1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J11" sqref="J11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20">
      <pageMargins left="0.5" right="1" top="0.85" bottom="0.8" header="0.5" footer="0.35"/>
      <pageSetup scale="94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4">
    <mergeCell ref="M6:N6"/>
    <mergeCell ref="M7:N7"/>
    <mergeCell ref="C7:E7"/>
    <mergeCell ref="B2:N2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zoomScale="70" zoomScaleNormal="70" workbookViewId="0">
      <selection activeCell="C1" sqref="C1"/>
    </sheetView>
  </sheetViews>
  <sheetFormatPr defaultRowHeight="15.75" x14ac:dyDescent="0.25"/>
  <cols>
    <col min="1" max="1" width="2.140625" style="3" customWidth="1"/>
    <col min="2" max="3" width="4.7109375" style="3" customWidth="1"/>
    <col min="4" max="4" width="9.140625" style="3"/>
    <col min="5" max="5" width="8.85546875" style="3" customWidth="1"/>
    <col min="6" max="6" width="13.140625" style="3" customWidth="1"/>
    <col min="7" max="7" width="8" style="3" customWidth="1"/>
    <col min="8" max="8" width="10.85546875" style="3" customWidth="1"/>
    <col min="9" max="9" width="9.42578125" style="3" customWidth="1"/>
    <col min="10" max="10" width="10.7109375" style="3" customWidth="1"/>
    <col min="11" max="11" width="1.7109375" style="3" customWidth="1"/>
    <col min="12" max="12" width="10.85546875" style="3" customWidth="1"/>
    <col min="13" max="13" width="9.140625" style="3"/>
    <col min="14" max="14" width="0" style="318" hidden="1" customWidth="1"/>
    <col min="15" max="15" width="2.7109375" style="318" hidden="1" customWidth="1"/>
    <col min="16" max="16" width="0" style="318" hidden="1" customWidth="1"/>
    <col min="17" max="17" width="2.7109375" style="318" hidden="1" customWidth="1"/>
    <col min="18" max="18" width="0" style="318" hidden="1" customWidth="1"/>
    <col min="19" max="19" width="2.7109375" style="3" customWidth="1"/>
    <col min="20" max="20" width="9.140625" style="3"/>
    <col min="21" max="21" width="2.7109375" style="3" customWidth="1"/>
    <col min="22" max="22" width="9.140625" style="3"/>
    <col min="23" max="23" width="2.7109375" style="3" customWidth="1"/>
    <col min="24" max="16384" width="9.140625" style="3"/>
  </cols>
  <sheetData>
    <row r="1" spans="2:18" ht="30" customHeight="1" x14ac:dyDescent="0.25"/>
    <row r="2" spans="2:18" ht="15.75" customHeight="1" x14ac:dyDescent="0.25">
      <c r="B2" s="6" t="s">
        <v>150</v>
      </c>
    </row>
    <row r="3" spans="2:18" ht="5.0999999999999996" customHeight="1" thickBot="1" x14ac:dyDescent="0.3">
      <c r="B3" s="6"/>
    </row>
    <row r="4" spans="2:18" ht="15.75" customHeight="1" x14ac:dyDescent="0.25">
      <c r="B4" s="10" t="s">
        <v>355</v>
      </c>
      <c r="C4" s="253" t="s">
        <v>224</v>
      </c>
      <c r="D4" s="253"/>
      <c r="E4" s="253"/>
      <c r="F4" s="253"/>
      <c r="G4" s="253"/>
      <c r="H4" s="253"/>
      <c r="I4" s="253"/>
      <c r="J4" s="253"/>
      <c r="K4" s="253"/>
      <c r="L4" s="253"/>
    </row>
    <row r="5" spans="2:18" ht="15.75" customHeight="1" x14ac:dyDescent="0.25">
      <c r="C5" s="254" t="s">
        <v>349</v>
      </c>
      <c r="D5" s="254"/>
      <c r="E5" s="254"/>
      <c r="F5" s="254"/>
      <c r="G5" s="254"/>
      <c r="H5" s="254"/>
      <c r="I5" s="254"/>
      <c r="J5" s="254"/>
      <c r="K5" s="254"/>
      <c r="L5" s="254"/>
    </row>
    <row r="6" spans="2:18" ht="15.75" customHeight="1" thickBot="1" x14ac:dyDescent="0.3">
      <c r="C6" s="250" t="s">
        <v>225</v>
      </c>
      <c r="D6" s="250"/>
      <c r="E6" s="250"/>
      <c r="F6" s="250"/>
      <c r="G6" s="250"/>
      <c r="H6" s="250"/>
      <c r="I6" s="250"/>
      <c r="J6" s="250"/>
      <c r="K6" s="250"/>
      <c r="L6" s="250"/>
    </row>
    <row r="7" spans="2:18" ht="5.0999999999999996" customHeight="1" x14ac:dyDescent="0.25"/>
    <row r="8" spans="2:18" ht="15.75" customHeight="1" x14ac:dyDescent="0.25">
      <c r="C8" s="3" t="str">
        <f>CONCATENATE("Sales (",TEXT(N8,"$#,##0.00"),O8,TEXT(P8,"#,##0"),")……………………………………………………………………………………………………………………………………………………………………",)</f>
        <v>Sales ($3.50 × 10,000)……………………………………………………………………………………………………………………………………………………………………</v>
      </c>
      <c r="J8" s="3" t="s">
        <v>380</v>
      </c>
      <c r="L8" s="5">
        <f>R8</f>
        <v>35000</v>
      </c>
      <c r="N8" s="349">
        <v>3.5</v>
      </c>
      <c r="O8" s="308" t="s">
        <v>469</v>
      </c>
      <c r="P8" s="308">
        <v>10000</v>
      </c>
      <c r="Q8" s="308" t="s">
        <v>468</v>
      </c>
      <c r="R8" s="308">
        <f>SUM(N8*P8)</f>
        <v>35000</v>
      </c>
    </row>
    <row r="9" spans="2:18" ht="15.75" customHeight="1" x14ac:dyDescent="0.25">
      <c r="C9" s="3" t="s">
        <v>226</v>
      </c>
    </row>
    <row r="10" spans="2:18" ht="15.75" customHeight="1" x14ac:dyDescent="0.25">
      <c r="D10" s="3" t="s">
        <v>44</v>
      </c>
      <c r="J10" s="5">
        <f>'2-17'!G26</f>
        <v>7810</v>
      </c>
    </row>
    <row r="11" spans="2:18" ht="15.75" customHeight="1" x14ac:dyDescent="0.25">
      <c r="D11" s="3" t="s">
        <v>45</v>
      </c>
      <c r="J11" s="13">
        <f>'2-17'!I26</f>
        <v>7250</v>
      </c>
      <c r="K11" s="13"/>
      <c r="L11" s="13"/>
    </row>
    <row r="12" spans="2:18" ht="15.75" customHeight="1" x14ac:dyDescent="0.25">
      <c r="D12" s="3" t="s">
        <v>46</v>
      </c>
      <c r="J12" s="15">
        <f>'2-17'!K26</f>
        <v>4570</v>
      </c>
      <c r="K12" s="13"/>
      <c r="L12" s="15">
        <f>SUM(J10:J12)</f>
        <v>19630</v>
      </c>
    </row>
    <row r="13" spans="2:18" ht="15.75" customHeight="1" x14ac:dyDescent="0.25">
      <c r="C13" s="3" t="s">
        <v>47</v>
      </c>
      <c r="J13" s="3" t="s">
        <v>380</v>
      </c>
      <c r="L13" s="5">
        <f>L8-L12</f>
        <v>15370</v>
      </c>
    </row>
    <row r="14" spans="2:18" ht="15.75" customHeight="1" x14ac:dyDescent="0.25">
      <c r="C14" s="3" t="s">
        <v>151</v>
      </c>
      <c r="J14" s="3" t="s">
        <v>380</v>
      </c>
      <c r="L14" s="13">
        <f>'2-17'!M26</f>
        <v>9250</v>
      </c>
    </row>
    <row r="15" spans="2:18" ht="15.75" customHeight="1" thickBot="1" x14ac:dyDescent="0.3">
      <c r="C15" s="6"/>
      <c r="D15" s="6" t="s">
        <v>48</v>
      </c>
      <c r="E15" s="6"/>
      <c r="F15" s="6"/>
      <c r="G15" s="6"/>
      <c r="H15" s="6"/>
      <c r="I15" s="6"/>
      <c r="J15" s="6" t="s">
        <v>380</v>
      </c>
      <c r="K15" s="6"/>
      <c r="L15" s="76">
        <f>L13-L14</f>
        <v>6120</v>
      </c>
    </row>
    <row r="16" spans="2:18" ht="9.75" customHeight="1" thickTop="1" thickBot="1" x14ac:dyDescent="0.3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4" ht="9.75" customHeight="1" x14ac:dyDescent="0.25"/>
    <row r="18" spans="2:4" ht="15.75" customHeight="1" x14ac:dyDescent="0.25">
      <c r="B18" s="10" t="s">
        <v>356</v>
      </c>
      <c r="C18" s="3" t="s">
        <v>230</v>
      </c>
    </row>
    <row r="19" spans="2:4" ht="5.0999999999999996" customHeight="1" x14ac:dyDescent="0.25">
      <c r="B19" s="10"/>
    </row>
    <row r="20" spans="2:4" ht="15.75" customHeight="1" x14ac:dyDescent="0.25">
      <c r="C20" s="10" t="s">
        <v>227</v>
      </c>
      <c r="D20" s="3" t="s">
        <v>231</v>
      </c>
    </row>
    <row r="21" spans="2:4" ht="5.0999999999999996" customHeight="1" x14ac:dyDescent="0.25">
      <c r="C21" s="10"/>
    </row>
    <row r="22" spans="2:4" ht="15.75" customHeight="1" x14ac:dyDescent="0.25">
      <c r="C22" s="10" t="s">
        <v>228</v>
      </c>
      <c r="D22" s="3" t="s">
        <v>232</v>
      </c>
    </row>
    <row r="23" spans="2:4" ht="5.0999999999999996" customHeight="1" x14ac:dyDescent="0.25">
      <c r="C23" s="10"/>
    </row>
    <row r="24" spans="2:4" ht="15.75" customHeight="1" x14ac:dyDescent="0.25">
      <c r="C24" s="10" t="s">
        <v>229</v>
      </c>
      <c r="D24" s="3" t="s">
        <v>563</v>
      </c>
    </row>
    <row r="25" spans="2:4" ht="15.75" customHeight="1" x14ac:dyDescent="0.25">
      <c r="D25" s="3" t="s">
        <v>562</v>
      </c>
    </row>
    <row r="26" spans="2:4" ht="5.0999999999999996" customHeight="1" x14ac:dyDescent="0.25"/>
    <row r="27" spans="2:4" ht="15.75" customHeight="1" x14ac:dyDescent="0.25">
      <c r="C27" s="10" t="s">
        <v>234</v>
      </c>
      <c r="D27" s="3" t="s">
        <v>233</v>
      </c>
    </row>
    <row r="28" spans="2:4" ht="5.0999999999999996" customHeight="1" x14ac:dyDescent="0.25">
      <c r="C28" s="10"/>
    </row>
    <row r="29" spans="2:4" ht="15.75" customHeight="1" x14ac:dyDescent="0.25">
      <c r="C29" s="3" t="s">
        <v>564</v>
      </c>
    </row>
    <row r="30" spans="2:4" ht="15.75" customHeight="1" x14ac:dyDescent="0.25">
      <c r="C30" s="3" t="s">
        <v>565</v>
      </c>
    </row>
    <row r="31" spans="2:4" ht="15.75" customHeight="1" x14ac:dyDescent="0.25">
      <c r="C31" s="3" t="s">
        <v>566</v>
      </c>
    </row>
    <row r="32" spans="2:4" ht="15.75" customHeight="1" x14ac:dyDescent="0.25">
      <c r="C32" s="3" t="s">
        <v>567</v>
      </c>
    </row>
    <row r="33" spans="3:3" ht="15.75" customHeight="1" x14ac:dyDescent="0.25">
      <c r="C33" s="3" t="s">
        <v>568</v>
      </c>
    </row>
    <row r="34" spans="3:3" ht="15.75" customHeight="1" x14ac:dyDescent="0.25">
      <c r="C34" s="3" t="s">
        <v>569</v>
      </c>
    </row>
    <row r="35" spans="3:3" ht="15.75" customHeight="1" x14ac:dyDescent="0.25">
      <c r="C35" s="3" t="s">
        <v>570</v>
      </c>
    </row>
    <row r="36" spans="3:3" ht="15.75" customHeight="1" x14ac:dyDescent="0.25">
      <c r="C36" s="3" t="s">
        <v>571</v>
      </c>
    </row>
    <row r="37" spans="3:3" ht="15.75" customHeight="1" x14ac:dyDescent="0.25">
      <c r="C37" s="3" t="s">
        <v>572</v>
      </c>
    </row>
    <row r="38" spans="3:3" ht="15.75" customHeight="1" x14ac:dyDescent="0.25">
      <c r="C38" s="3" t="s">
        <v>573</v>
      </c>
    </row>
    <row r="39" spans="3:3" ht="5.0999999999999996" customHeight="1" x14ac:dyDescent="0.25"/>
    <row r="40" spans="3:3" ht="15.75" customHeight="1" x14ac:dyDescent="0.25">
      <c r="C40" s="30" t="s">
        <v>272</v>
      </c>
    </row>
    <row r="41" spans="3:3" ht="15.75" customHeight="1" x14ac:dyDescent="0.25">
      <c r="C41" s="30" t="s">
        <v>574</v>
      </c>
    </row>
    <row r="42" spans="3:3" ht="15.75" customHeight="1" x14ac:dyDescent="0.25">
      <c r="C42" s="3" t="s">
        <v>575</v>
      </c>
    </row>
    <row r="43" spans="3:3" ht="15.75" customHeight="1" x14ac:dyDescent="0.25">
      <c r="C43" s="3" t="s">
        <v>18</v>
      </c>
    </row>
    <row r="44" spans="3:3" ht="15.75" customHeight="1" x14ac:dyDescent="0.25">
      <c r="C44" s="3" t="s">
        <v>19</v>
      </c>
    </row>
    <row r="45" spans="3:3" ht="15.75" customHeight="1" x14ac:dyDescent="0.25"/>
    <row r="46" spans="3:3" ht="5.0999999999999996" customHeight="1" x14ac:dyDescent="0.25"/>
    <row r="47" spans="3:3" ht="15.75" customHeight="1" x14ac:dyDescent="0.25"/>
    <row r="48" spans="3:3" ht="15.75" customHeight="1" x14ac:dyDescent="0.25"/>
    <row r="49" ht="15.75" customHeight="1" x14ac:dyDescent="0.25"/>
    <row r="50" ht="15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</sheetData>
  <customSheetViews>
    <customSheetView guid="{C95BCE97-951E-4C98-84AE-A423A99BB34B}" showPageBreaks="1" fitToPage="1" printArea="1">
      <selection activeCell="I1" sqref="I1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17">
      <pageMargins left="1" right="0.5" top="0.85" bottom="0.8" header="0.5" footer="0.35"/>
      <pageSetup scale="94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3">
    <mergeCell ref="C4:L4"/>
    <mergeCell ref="C5:L5"/>
    <mergeCell ref="C6:L6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0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9.42578125" style="3" customWidth="1"/>
    <col min="4" max="4" width="9.140625" style="3"/>
    <col min="5" max="5" width="16" style="3" customWidth="1"/>
    <col min="6" max="6" width="11.42578125" style="3" customWidth="1"/>
    <col min="7" max="7" width="11.28515625" style="3" customWidth="1"/>
    <col min="8" max="8" width="13.140625" style="3" customWidth="1"/>
    <col min="9" max="9" width="2.5703125" style="3" customWidth="1"/>
    <col min="10" max="10" width="14.28515625" style="3" customWidth="1"/>
    <col min="11" max="11" width="8.28515625" style="3" customWidth="1"/>
    <col min="12" max="12" width="2.7109375" style="3" customWidth="1"/>
    <col min="13" max="13" width="9.140625" style="3"/>
    <col min="14" max="14" width="9.42578125" style="318" hidden="1" customWidth="1"/>
    <col min="15" max="15" width="2.7109375" style="318" hidden="1" customWidth="1"/>
    <col min="16" max="16" width="8.85546875" style="318" hidden="1" customWidth="1"/>
    <col min="17" max="17" width="2.7109375" style="318" hidden="1" customWidth="1"/>
    <col min="18" max="18" width="10.42578125" style="318" hidden="1" customWidth="1"/>
    <col min="19" max="19" width="2.7109375" style="318" hidden="1" customWidth="1"/>
    <col min="20" max="20" width="0" style="318" hidden="1" customWidth="1"/>
    <col min="21" max="21" width="2.7109375" style="318" hidden="1" customWidth="1"/>
    <col min="22" max="22" width="0" style="318" hidden="1" customWidth="1"/>
    <col min="23" max="23" width="9.140625" style="220"/>
    <col min="24" max="16384" width="9.140625" style="3"/>
  </cols>
  <sheetData>
    <row r="1" spans="2:20" ht="30" customHeight="1" x14ac:dyDescent="0.25"/>
    <row r="2" spans="2:20" ht="15.75" customHeight="1" x14ac:dyDescent="0.25">
      <c r="B2" s="6" t="s">
        <v>152</v>
      </c>
      <c r="M2" s="6"/>
      <c r="P2" s="319"/>
    </row>
    <row r="3" spans="2:20" ht="15.75" customHeight="1" x14ac:dyDescent="0.25">
      <c r="B3" s="10" t="s">
        <v>354</v>
      </c>
      <c r="C3" s="3" t="str">
        <f>CONCATENATE("Cost per Page for Black Ink = ",)</f>
        <v xml:space="preserve">Cost per Page for Black Ink = </v>
      </c>
      <c r="F3" s="142" t="str">
        <f>CONCATENATE(TEXT(N3,"$#,##0.00"),)</f>
        <v>$25.50</v>
      </c>
      <c r="G3" s="3" t="str">
        <f>CONCATENATE(Q3,TEXT(R3,"$#,##0.00"))</f>
        <v xml:space="preserve"> = $0.03</v>
      </c>
      <c r="J3" s="44"/>
      <c r="N3" s="349">
        <v>25.5</v>
      </c>
      <c r="O3" s="308" t="s">
        <v>471</v>
      </c>
      <c r="P3" s="308">
        <v>850</v>
      </c>
      <c r="Q3" s="308" t="s">
        <v>468</v>
      </c>
      <c r="R3" s="349">
        <f>SUM(N3/P3)</f>
        <v>0.03</v>
      </c>
    </row>
    <row r="4" spans="2:20" ht="15.75" customHeight="1" x14ac:dyDescent="0.25">
      <c r="B4" s="10"/>
      <c r="F4" s="4" t="str">
        <f>CONCATENATE(TEXT(P3,"#,##0")," pages",)</f>
        <v>850 pages</v>
      </c>
      <c r="J4" s="44"/>
    </row>
    <row r="5" spans="2:20" ht="5.0999999999999996" customHeight="1" x14ac:dyDescent="0.25">
      <c r="B5" s="10"/>
      <c r="J5" s="44"/>
    </row>
    <row r="6" spans="2:20" ht="15.75" customHeight="1" x14ac:dyDescent="0.25">
      <c r="C6" s="3" t="str">
        <f>CONCATENATE("Total Owed to Harry by Mary = ",TEXT(N6,"$#,##0.00"),O6,TEXT(P6,"#,##0")," pages",Q6,TEXT(R6,"$#,##0"))</f>
        <v>Total Owed to Harry by Mary = $0.03 × 500 pages = $15</v>
      </c>
      <c r="N6" s="349">
        <f>R3</f>
        <v>0.03</v>
      </c>
      <c r="O6" s="308" t="s">
        <v>469</v>
      </c>
      <c r="P6" s="308">
        <v>500</v>
      </c>
      <c r="Q6" s="308" t="s">
        <v>468</v>
      </c>
      <c r="R6" s="308">
        <f>SUM(N6*P6)</f>
        <v>15</v>
      </c>
    </row>
    <row r="7" spans="2:20" ht="15.75" customHeight="1" x14ac:dyDescent="0.25">
      <c r="C7" s="3" t="str">
        <f>CONCATENATE("Total Owed to Harry by Natalie = ",TEXT(N7,"$#,##0.00"),O7,TEXT(P7,"#,##0")," pages",Q7,TEXT(R7,"$#,##0"))</f>
        <v>Total Owed to Harry by Natalie = $0.03 × 1,000 pages = $30</v>
      </c>
      <c r="N7" s="349">
        <f>R3</f>
        <v>0.03</v>
      </c>
      <c r="O7" s="308" t="s">
        <v>469</v>
      </c>
      <c r="P7" s="308">
        <v>1000</v>
      </c>
      <c r="Q7" s="308" t="s">
        <v>468</v>
      </c>
      <c r="R7" s="308">
        <f>SUM(N7*P7)</f>
        <v>30</v>
      </c>
    </row>
    <row r="8" spans="2:20" ht="9.75" customHeight="1" x14ac:dyDescent="0.25"/>
    <row r="9" spans="2:20" ht="15.75" customHeight="1" x14ac:dyDescent="0.25">
      <c r="B9" s="10" t="s">
        <v>355</v>
      </c>
      <c r="C9" s="3" t="str">
        <f>CONCATENATE("Cost per Sheet for Paper = ",)</f>
        <v xml:space="preserve">Cost per Sheet for Paper = </v>
      </c>
      <c r="F9" s="142" t="str">
        <f>CONCATENATE(TEXT(N9,"$#,##0.00"),)</f>
        <v>$2.50</v>
      </c>
      <c r="G9" s="3" t="str">
        <f>CONCATENATE(Q9,TEXT(R9,"$#,##0.000"))</f>
        <v xml:space="preserve"> = $0.005</v>
      </c>
      <c r="J9" s="44"/>
      <c r="N9" s="349">
        <v>2.5</v>
      </c>
      <c r="O9" s="308" t="s">
        <v>471</v>
      </c>
      <c r="P9" s="308">
        <v>500</v>
      </c>
      <c r="Q9" s="308" t="s">
        <v>468</v>
      </c>
      <c r="R9" s="344">
        <f>SUM(N9/P9)</f>
        <v>5.0000000000000001E-3</v>
      </c>
    </row>
    <row r="10" spans="2:20" ht="15.75" customHeight="1" x14ac:dyDescent="0.25">
      <c r="B10" s="10"/>
      <c r="F10" s="4" t="str">
        <f>CONCATENATE(TEXT(P9,"#,##0")," sheets",)</f>
        <v>500 sheets</v>
      </c>
      <c r="J10" s="44"/>
    </row>
    <row r="11" spans="2:20" ht="5.0999999999999996" customHeight="1" x14ac:dyDescent="0.25">
      <c r="B11" s="10"/>
      <c r="H11" s="55"/>
      <c r="I11" s="55"/>
      <c r="J11" s="55"/>
    </row>
    <row r="12" spans="2:20" ht="15.75" customHeight="1" x14ac:dyDescent="0.25">
      <c r="C12" s="3" t="str">
        <f>CONCATENATE("Total Cost for Mary = ",TEXT(N12,"#,##0")," pages",O12,"(",TEXT(P12,"$#,##0.00"),Q12,TEXT(R12,"$#,##0.000"),")",S12,TEXT(T12,"$#,##0.00"))</f>
        <v>Total Cost for Mary = 500 pages × ($0.03 + $0.005) = $17.50</v>
      </c>
      <c r="N12" s="308">
        <f>P6</f>
        <v>500</v>
      </c>
      <c r="O12" s="308" t="s">
        <v>469</v>
      </c>
      <c r="P12" s="349">
        <f>R3</f>
        <v>0.03</v>
      </c>
      <c r="Q12" s="308" t="s">
        <v>467</v>
      </c>
      <c r="R12" s="344">
        <f>R9</f>
        <v>5.0000000000000001E-3</v>
      </c>
      <c r="S12" s="308" t="s">
        <v>468</v>
      </c>
      <c r="T12" s="349">
        <f>SUM(N12*(P12+R12))</f>
        <v>17.499999999999996</v>
      </c>
    </row>
    <row r="13" spans="2:20" ht="15.75" customHeight="1" x14ac:dyDescent="0.25">
      <c r="C13" s="3" t="str">
        <f>CONCATENATE("Total Cost for Natalie = ",TEXT(N13,"#,##0")," pages",O13,"(",TEXT(P13,"$#,##0.00"),Q13,TEXT(R13,"$#,##0.000"),")",S13,TEXT(T13,"$#,##0"))</f>
        <v>Total Cost for Natalie = 1,000 pages × ($0.03 + $0.005) = $35</v>
      </c>
      <c r="N13" s="308">
        <f>P7</f>
        <v>1000</v>
      </c>
      <c r="O13" s="308" t="s">
        <v>469</v>
      </c>
      <c r="P13" s="349">
        <f>R3</f>
        <v>0.03</v>
      </c>
      <c r="Q13" s="308" t="s">
        <v>467</v>
      </c>
      <c r="R13" s="344">
        <f>R9</f>
        <v>5.0000000000000001E-3</v>
      </c>
      <c r="S13" s="308" t="s">
        <v>468</v>
      </c>
      <c r="T13" s="349">
        <f>SUM(N13*(P13+R13))</f>
        <v>34.999999999999993</v>
      </c>
    </row>
    <row r="14" spans="2:20" ht="9.75" customHeight="1" x14ac:dyDescent="0.25"/>
    <row r="15" spans="2:20" ht="15.75" customHeight="1" x14ac:dyDescent="0.25">
      <c r="B15" s="10" t="s">
        <v>356</v>
      </c>
      <c r="C15" s="3" t="str">
        <f>CONCATENATE("Cost per Page for Color Ink = ",)</f>
        <v xml:space="preserve">Cost per Page for Color Ink = </v>
      </c>
      <c r="F15" s="142" t="str">
        <f>CONCATENATE(TEXT(N15,"$#,##0"),)</f>
        <v>$31</v>
      </c>
      <c r="G15" s="3" t="str">
        <f>CONCATENATE(Q15,TEXT(R15,"$#,##0.00"))</f>
        <v xml:space="preserve"> = $0.10</v>
      </c>
      <c r="J15" s="44"/>
      <c r="N15" s="349">
        <v>31</v>
      </c>
      <c r="O15" s="308" t="s">
        <v>471</v>
      </c>
      <c r="P15" s="308">
        <v>310</v>
      </c>
      <c r="Q15" s="308" t="s">
        <v>468</v>
      </c>
      <c r="R15" s="349">
        <f>SUM(N15/P15)</f>
        <v>0.1</v>
      </c>
    </row>
    <row r="16" spans="2:20" ht="15.75" customHeight="1" x14ac:dyDescent="0.25">
      <c r="B16" s="10"/>
      <c r="F16" s="4" t="str">
        <f>CONCATENATE(TEXT(P15,"#,##0")," pages",)</f>
        <v>310 pages</v>
      </c>
      <c r="J16" s="44"/>
    </row>
    <row r="17" spans="2:24" ht="5.0999999999999996" customHeight="1" x14ac:dyDescent="0.25">
      <c r="B17" s="10"/>
      <c r="J17" s="44"/>
      <c r="S17" s="308"/>
      <c r="T17" s="308"/>
    </row>
    <row r="18" spans="2:24" ht="15.75" customHeight="1" x14ac:dyDescent="0.25">
      <c r="C18" s="3" t="str">
        <f>CONCATENATE("Number of Black Ink Pages for Natalie = ",TEXT(N18,"#,##0"),O18,TEXT(P18,"#,##0.00"),Q18,TEXT(R18,"#,##0"))</f>
        <v>Number of Black Ink Pages for Natalie = 1,000 × 0.80 = 800</v>
      </c>
      <c r="M18" s="6"/>
      <c r="N18" s="308">
        <f>P7</f>
        <v>1000</v>
      </c>
      <c r="O18" s="308" t="s">
        <v>469</v>
      </c>
      <c r="P18" s="349">
        <f>1-P20</f>
        <v>0.8</v>
      </c>
      <c r="Q18" s="308" t="s">
        <v>468</v>
      </c>
      <c r="R18" s="308">
        <f>SUM(N18*P18)</f>
        <v>800</v>
      </c>
    </row>
    <row r="19" spans="2:24" ht="5.0999999999999996" customHeight="1" x14ac:dyDescent="0.25">
      <c r="M19" s="6"/>
      <c r="S19" s="308"/>
      <c r="T19" s="308"/>
    </row>
    <row r="20" spans="2:24" ht="15.75" customHeight="1" x14ac:dyDescent="0.25">
      <c r="C20" s="3" t="str">
        <f>CONCATENATE("Number of Color Ink Pages for Natalie = ",TEXT(N20,"#,##0"),O20,TEXT(P20,"#,##0.00"),Q20,TEXT(R20,"#,##0"),)</f>
        <v>Number of Color Ink Pages for Natalie = 1,000 × 0.20 = 200</v>
      </c>
      <c r="M20" s="6"/>
      <c r="N20" s="308">
        <f>P7</f>
        <v>1000</v>
      </c>
      <c r="O20" s="308" t="s">
        <v>469</v>
      </c>
      <c r="P20" s="349">
        <v>0.2</v>
      </c>
      <c r="Q20" s="308" t="s">
        <v>468</v>
      </c>
      <c r="R20" s="308">
        <f>SUM(N20*P20)</f>
        <v>200</v>
      </c>
    </row>
    <row r="21" spans="2:24" ht="5.0999999999999996" customHeight="1" x14ac:dyDescent="0.25">
      <c r="M21" s="6"/>
      <c r="S21" s="308"/>
      <c r="T21" s="308"/>
    </row>
    <row r="22" spans="2:24" ht="15.75" customHeight="1" x14ac:dyDescent="0.25">
      <c r="C22" s="3" t="str">
        <f>CONCATENATE("Total Owed to Harry by Natalie = (",TEXT(N22,"$#,##0.00"),O22,TEXT(P22,"#,##0")," pages)",Q22,"(",TEXT(R22,"$#,##0.00"),S22,TEXT(T22,"#,##0"),")",U22,TEXT(V22,"$#,##0"),)</f>
        <v>Total Owed to Harry by Natalie = ($0.03 × 800 pages) + ($0.10 × 200) = $44</v>
      </c>
      <c r="M22" s="6"/>
      <c r="N22" s="349">
        <f>R3</f>
        <v>0.03</v>
      </c>
      <c r="O22" s="308" t="s">
        <v>469</v>
      </c>
      <c r="P22" s="308">
        <f>R18</f>
        <v>800</v>
      </c>
      <c r="Q22" s="308" t="s">
        <v>467</v>
      </c>
      <c r="R22" s="349">
        <f>R15</f>
        <v>0.1</v>
      </c>
      <c r="S22" s="308" t="s">
        <v>469</v>
      </c>
      <c r="T22" s="308">
        <f>P7-R18</f>
        <v>200</v>
      </c>
      <c r="U22" s="308" t="s">
        <v>468</v>
      </c>
      <c r="V22" s="308">
        <f>SUM((N22*P22)+(R22*T22))</f>
        <v>44</v>
      </c>
    </row>
    <row r="23" spans="2:24" ht="5.0999999999999996" customHeight="1" x14ac:dyDescent="0.25">
      <c r="M23" s="6"/>
      <c r="W23" s="223"/>
      <c r="X23" s="102"/>
    </row>
    <row r="24" spans="2:24" ht="15.75" customHeight="1" x14ac:dyDescent="0.25">
      <c r="C24" s="3" t="str">
        <f>CONCATENATE("Total Cost to Natalie = [(",TEXT(N24,"$#,##0.00"),O24,TEXT(P24,"$#,##0.000"),")",Q24,TEXT(R24,"#,##0")," pages]",S24,"[(",TEXT(T24,"$#,##0.00"),U24,TEXT(V24,"$#,##0.000"),")",)</f>
        <v>Total Cost to Natalie = [($0.03 + $0.005) × 800 pages] + [($0.10 + $0.005)</v>
      </c>
      <c r="M24" s="6"/>
      <c r="N24" s="349">
        <f>R3</f>
        <v>0.03</v>
      </c>
      <c r="O24" s="308" t="s">
        <v>467</v>
      </c>
      <c r="P24" s="344">
        <f>R9</f>
        <v>5.0000000000000001E-3</v>
      </c>
      <c r="Q24" s="308" t="s">
        <v>469</v>
      </c>
      <c r="R24" s="308">
        <f>R18</f>
        <v>800</v>
      </c>
      <c r="S24" s="308" t="s">
        <v>467</v>
      </c>
      <c r="T24" s="349">
        <f>R15</f>
        <v>0.1</v>
      </c>
      <c r="U24" s="308" t="s">
        <v>467</v>
      </c>
      <c r="V24" s="344">
        <f>R9</f>
        <v>5.0000000000000001E-3</v>
      </c>
    </row>
    <row r="25" spans="2:24" ht="15.75" customHeight="1" x14ac:dyDescent="0.25">
      <c r="C25" s="103" t="str">
        <f>CONCATENATE(O25,TEXT(P25,"#,##0")," pages]",Q25,TEXT(R25,"$#,##0"),)</f>
        <v xml:space="preserve"> × 200 pages] = $49</v>
      </c>
      <c r="M25" s="6"/>
      <c r="N25" s="349"/>
      <c r="O25" s="308" t="s">
        <v>469</v>
      </c>
      <c r="P25" s="308">
        <f>R20</f>
        <v>200</v>
      </c>
      <c r="Q25" s="308" t="s">
        <v>468</v>
      </c>
      <c r="R25" s="308">
        <f>SUM((N24+P24)*R24)+((T24+V24)*P25)</f>
        <v>49</v>
      </c>
      <c r="T25" s="349"/>
      <c r="U25" s="308"/>
      <c r="V25" s="344"/>
    </row>
    <row r="26" spans="2:24" ht="15.75" customHeight="1" x14ac:dyDescent="0.25">
      <c r="D26" s="43"/>
    </row>
    <row r="27" spans="2:24" ht="15.75" customHeight="1" x14ac:dyDescent="0.25">
      <c r="B27" s="6" t="s">
        <v>148</v>
      </c>
      <c r="M27" s="6"/>
    </row>
    <row r="28" spans="2:24" ht="15.75" customHeight="1" x14ac:dyDescent="0.25">
      <c r="B28" s="10" t="s">
        <v>354</v>
      </c>
      <c r="C28" s="3" t="str">
        <f>CONCATENATE("Direct Materials = $",TEXT(N28,"#,##0")," + $",TEXT(P28,"#,##0")," – $",TEXT(R28,"#,##0")," = $",TEXT(N28+P28-R28,"#,##0"),)</f>
        <v>Direct Materials = $40,000 + $64,000 – $19,800 = $84,200</v>
      </c>
      <c r="M28" s="6"/>
      <c r="N28" s="308">
        <v>40000</v>
      </c>
      <c r="O28" s="308" t="s">
        <v>467</v>
      </c>
      <c r="P28" s="308">
        <v>64000</v>
      </c>
      <c r="Q28" s="308" t="s">
        <v>470</v>
      </c>
      <c r="R28" s="308">
        <v>19800</v>
      </c>
      <c r="S28" s="308" t="s">
        <v>468</v>
      </c>
      <c r="T28" s="308">
        <f>SUM(N28+P28-R28)</f>
        <v>84200</v>
      </c>
    </row>
    <row r="29" spans="2:24" ht="9.75" customHeight="1" x14ac:dyDescent="0.25">
      <c r="M29" s="6"/>
      <c r="N29" s="319"/>
      <c r="O29" s="319"/>
      <c r="P29" s="319"/>
      <c r="Q29" s="319"/>
      <c r="R29" s="319"/>
      <c r="S29" s="319"/>
    </row>
    <row r="30" spans="2:24" ht="15.75" customHeight="1" x14ac:dyDescent="0.25">
      <c r="B30" s="10" t="s">
        <v>355</v>
      </c>
      <c r="C30" s="3" t="s">
        <v>49</v>
      </c>
      <c r="I30" s="3" t="s">
        <v>380</v>
      </c>
      <c r="J30" s="70">
        <f>T28</f>
        <v>84200</v>
      </c>
      <c r="M30" s="6"/>
      <c r="S30" s="308"/>
      <c r="T30" s="308"/>
    </row>
    <row r="31" spans="2:24" ht="15.75" customHeight="1" x14ac:dyDescent="0.25">
      <c r="C31" s="3" t="s">
        <v>50</v>
      </c>
      <c r="I31" s="3" t="s">
        <v>380</v>
      </c>
      <c r="J31" s="13">
        <f>R34</f>
        <v>43500</v>
      </c>
      <c r="M31" s="6"/>
      <c r="S31" s="308"/>
      <c r="T31" s="350"/>
    </row>
    <row r="32" spans="2:24" ht="15.75" customHeight="1" x14ac:dyDescent="0.25">
      <c r="C32" s="3" t="s">
        <v>51</v>
      </c>
      <c r="I32" s="3" t="s">
        <v>380</v>
      </c>
      <c r="J32" s="15">
        <f>R35</f>
        <v>108750</v>
      </c>
      <c r="M32" s="6"/>
      <c r="P32" s="316" t="s">
        <v>797</v>
      </c>
      <c r="Q32" s="316"/>
      <c r="R32" s="308">
        <v>21000</v>
      </c>
      <c r="S32" s="308"/>
      <c r="T32" s="345"/>
    </row>
    <row r="33" spans="2:20" ht="15.75" customHeight="1" x14ac:dyDescent="0.25">
      <c r="C33" s="104" t="s">
        <v>58</v>
      </c>
      <c r="I33" s="3" t="s">
        <v>380</v>
      </c>
      <c r="J33" s="5">
        <f>SUM(J30:J32)</f>
        <v>236450</v>
      </c>
      <c r="M33" s="6"/>
      <c r="P33" s="316" t="s">
        <v>794</v>
      </c>
      <c r="Q33" s="316"/>
      <c r="R33" s="308">
        <v>23200</v>
      </c>
      <c r="S33" s="308"/>
      <c r="T33" s="345"/>
    </row>
    <row r="34" spans="2:20" ht="15.75" customHeight="1" x14ac:dyDescent="0.25">
      <c r="C34" s="3" t="s">
        <v>52</v>
      </c>
      <c r="I34" s="3" t="s">
        <v>380</v>
      </c>
      <c r="J34" s="13">
        <f>R32</f>
        <v>21000</v>
      </c>
      <c r="M34" s="6"/>
      <c r="P34" s="316" t="s">
        <v>795</v>
      </c>
      <c r="Q34" s="316"/>
      <c r="R34" s="308">
        <v>43500</v>
      </c>
      <c r="S34" s="308"/>
      <c r="T34" s="344"/>
    </row>
    <row r="35" spans="2:20" ht="15.75" customHeight="1" x14ac:dyDescent="0.25">
      <c r="C35" s="3" t="s">
        <v>53</v>
      </c>
      <c r="I35" s="3" t="s">
        <v>380</v>
      </c>
      <c r="J35" s="46">
        <f>R38</f>
        <v>-32500</v>
      </c>
      <c r="M35" s="6"/>
      <c r="P35" s="316" t="s">
        <v>321</v>
      </c>
      <c r="Q35" s="316"/>
      <c r="R35" s="308">
        <v>108750</v>
      </c>
      <c r="S35" s="308"/>
      <c r="T35" s="349"/>
    </row>
    <row r="36" spans="2:20" ht="15.75" customHeight="1" thickBot="1" x14ac:dyDescent="0.3">
      <c r="C36" s="104" t="s">
        <v>54</v>
      </c>
      <c r="I36" s="3" t="s">
        <v>380</v>
      </c>
      <c r="J36" s="14">
        <f>SUM(J33:J35)</f>
        <v>224950</v>
      </c>
      <c r="M36" s="6"/>
      <c r="P36" s="303"/>
      <c r="Q36" s="303"/>
      <c r="S36" s="308"/>
      <c r="T36" s="308"/>
    </row>
    <row r="37" spans="2:20" ht="9.75" customHeight="1" thickTop="1" x14ac:dyDescent="0.25">
      <c r="M37" s="6"/>
      <c r="P37" s="303"/>
      <c r="Q37" s="303"/>
    </row>
    <row r="38" spans="2:20" ht="15.75" customHeight="1" x14ac:dyDescent="0.25">
      <c r="B38" s="10" t="s">
        <v>356</v>
      </c>
      <c r="C38" s="3" t="s">
        <v>54</v>
      </c>
      <c r="I38" s="3" t="s">
        <v>380</v>
      </c>
      <c r="J38" s="5">
        <f>J36</f>
        <v>224950</v>
      </c>
      <c r="M38" s="6"/>
      <c r="P38" s="316" t="s">
        <v>798</v>
      </c>
      <c r="Q38" s="316"/>
      <c r="R38" s="308">
        <v>-32500</v>
      </c>
      <c r="S38" s="308"/>
    </row>
    <row r="39" spans="2:20" ht="15.75" customHeight="1" x14ac:dyDescent="0.25">
      <c r="C39" s="3" t="s">
        <v>55</v>
      </c>
      <c r="I39" s="3" t="s">
        <v>380</v>
      </c>
      <c r="J39" s="13">
        <f>R33</f>
        <v>23200</v>
      </c>
      <c r="M39" s="6"/>
      <c r="P39" s="316" t="s">
        <v>796</v>
      </c>
      <c r="Q39" s="316"/>
      <c r="R39" s="308">
        <v>-22100</v>
      </c>
      <c r="S39" s="308"/>
    </row>
    <row r="40" spans="2:20" ht="15.75" customHeight="1" x14ac:dyDescent="0.25">
      <c r="C40" s="3" t="s">
        <v>56</v>
      </c>
      <c r="I40" s="3" t="s">
        <v>380</v>
      </c>
      <c r="J40" s="46">
        <f>R39</f>
        <v>-22100</v>
      </c>
      <c r="M40" s="6"/>
      <c r="S40" s="308"/>
    </row>
    <row r="41" spans="2:20" ht="15.75" customHeight="1" thickBot="1" x14ac:dyDescent="0.3">
      <c r="C41" s="104" t="s">
        <v>59</v>
      </c>
      <c r="I41" s="3" t="s">
        <v>380</v>
      </c>
      <c r="J41" s="14">
        <f>SUM(J38:J40)</f>
        <v>226050</v>
      </c>
      <c r="M41" s="6"/>
      <c r="S41" s="308"/>
    </row>
    <row r="42" spans="2:20" ht="15.75" customHeight="1" thickTop="1" x14ac:dyDescent="0.25">
      <c r="M42" s="6"/>
    </row>
    <row r="43" spans="2:20" ht="15.75" customHeight="1" x14ac:dyDescent="0.25"/>
    <row r="44" spans="2:20" ht="15.75" customHeight="1" x14ac:dyDescent="0.25"/>
    <row r="45" spans="2:20" ht="15.75" customHeight="1" x14ac:dyDescent="0.25"/>
    <row r="46" spans="2:20" ht="15.75" customHeight="1" x14ac:dyDescent="0.25"/>
    <row r="47" spans="2:20" ht="15.75" customHeight="1" x14ac:dyDescent="0.25"/>
    <row r="48" spans="2:20" ht="9.75" customHeight="1" x14ac:dyDescent="0.25"/>
    <row r="49" ht="15.75" customHeight="1" x14ac:dyDescent="0.25"/>
    <row r="50" ht="9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customSheetViews>
    <customSheetView guid="{C95BCE97-951E-4C98-84AE-A423A99BB34B}" showPageBreaks="1" fitToPage="1" printArea="1"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pageMargins left="0.5" right="1" top="0.85" bottom="0.8" header="0.5" footer="0.35"/>
      <printOptions horizontalCentered="1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35">
      <selection activeCell="K19" sqref="K19"/>
      <pageMargins left="0.5" right="1" top="0.85" bottom="0.8" header="0.5" footer="0.35"/>
      <pageSetup scale="91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6">
    <mergeCell ref="P39:Q39"/>
    <mergeCell ref="P32:Q32"/>
    <mergeCell ref="P33:Q33"/>
    <mergeCell ref="P34:Q34"/>
    <mergeCell ref="P35:Q35"/>
    <mergeCell ref="P38:Q38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zoomScale="85" zoomScaleNormal="85" workbookViewId="0"/>
  </sheetViews>
  <sheetFormatPr defaultRowHeight="12.75" x14ac:dyDescent="0.2"/>
  <cols>
    <col min="1" max="1" width="2.7109375" style="141" customWidth="1"/>
    <col min="2" max="2" width="4.7109375" style="141" customWidth="1"/>
    <col min="3" max="5" width="3.7109375" style="141" customWidth="1"/>
    <col min="6" max="6" width="10.28515625" style="141" customWidth="1"/>
    <col min="7" max="7" width="21.7109375" style="141" customWidth="1"/>
    <col min="8" max="8" width="10.85546875" style="141" customWidth="1"/>
    <col min="9" max="9" width="12.7109375" style="141" customWidth="1"/>
    <col min="10" max="10" width="11.5703125" style="141" customWidth="1"/>
    <col min="11" max="11" width="8.28515625" style="141" customWidth="1"/>
    <col min="12" max="16384" width="9.140625" style="141"/>
  </cols>
  <sheetData>
    <row r="1" spans="2:3" ht="30" customHeight="1" x14ac:dyDescent="0.2"/>
    <row r="2" spans="2:3" s="189" customFormat="1" ht="14.25" customHeight="1" x14ac:dyDescent="0.25">
      <c r="B2" s="190" t="s">
        <v>386</v>
      </c>
      <c r="C2" s="189" t="s">
        <v>117</v>
      </c>
    </row>
    <row r="3" spans="2:3" ht="7.5" customHeight="1" x14ac:dyDescent="0.2"/>
    <row r="4" spans="2:3" s="189" customFormat="1" ht="14.25" customHeight="1" x14ac:dyDescent="0.25">
      <c r="B4" s="190" t="s">
        <v>218</v>
      </c>
      <c r="C4" s="189" t="s">
        <v>292</v>
      </c>
    </row>
    <row r="5" spans="2:3" s="189" customFormat="1" ht="14.25" customHeight="1" x14ac:dyDescent="0.2">
      <c r="C5" s="189" t="s">
        <v>293</v>
      </c>
    </row>
    <row r="6" spans="2:3" s="189" customFormat="1" ht="14.25" customHeight="1" x14ac:dyDescent="0.2">
      <c r="C6" s="189" t="s">
        <v>294</v>
      </c>
    </row>
    <row r="7" spans="2:3" s="189" customFormat="1" ht="8.1" customHeight="1" x14ac:dyDescent="0.2"/>
    <row r="8" spans="2:3" s="189" customFormat="1" ht="14.25" customHeight="1" x14ac:dyDescent="0.25">
      <c r="B8" s="190" t="s">
        <v>219</v>
      </c>
      <c r="C8" s="189" t="s">
        <v>2</v>
      </c>
    </row>
    <row r="9" spans="2:3" s="189" customFormat="1" ht="14.25" customHeight="1" x14ac:dyDescent="0.2">
      <c r="C9" s="189" t="s">
        <v>313</v>
      </c>
    </row>
    <row r="10" spans="2:3" s="189" customFormat="1" ht="14.25" customHeight="1" x14ac:dyDescent="0.2">
      <c r="C10" s="189" t="s">
        <v>312</v>
      </c>
    </row>
    <row r="11" spans="2:3" s="189" customFormat="1" ht="8.1" customHeight="1" x14ac:dyDescent="0.2"/>
    <row r="12" spans="2:3" s="189" customFormat="1" ht="14.25" customHeight="1" x14ac:dyDescent="0.25">
      <c r="B12" s="190" t="s">
        <v>220</v>
      </c>
      <c r="C12" s="189" t="s">
        <v>295</v>
      </c>
    </row>
    <row r="13" spans="2:3" s="189" customFormat="1" ht="14.25" customHeight="1" x14ac:dyDescent="0.2">
      <c r="C13" s="192" t="s">
        <v>296</v>
      </c>
    </row>
    <row r="14" spans="2:3" s="189" customFormat="1" ht="14.25" customHeight="1" x14ac:dyDescent="0.2">
      <c r="C14" s="192" t="s">
        <v>297</v>
      </c>
    </row>
    <row r="15" spans="2:3" s="189" customFormat="1" ht="14.25" customHeight="1" x14ac:dyDescent="0.2">
      <c r="C15" s="189" t="s">
        <v>298</v>
      </c>
    </row>
    <row r="16" spans="2:3" s="189" customFormat="1" ht="14.25" customHeight="1" x14ac:dyDescent="0.2">
      <c r="C16" s="189" t="s">
        <v>299</v>
      </c>
    </row>
    <row r="17" spans="2:3" s="189" customFormat="1" ht="8.1" customHeight="1" x14ac:dyDescent="0.2"/>
    <row r="18" spans="2:3" s="189" customFormat="1" ht="14.25" customHeight="1" x14ac:dyDescent="0.25">
      <c r="B18" s="190" t="s">
        <v>221</v>
      </c>
      <c r="C18" s="189" t="s">
        <v>300</v>
      </c>
    </row>
    <row r="19" spans="2:3" s="189" customFormat="1" ht="14.25" customHeight="1" x14ac:dyDescent="0.2">
      <c r="C19" s="189" t="s">
        <v>301</v>
      </c>
    </row>
    <row r="20" spans="2:3" s="189" customFormat="1" ht="14.25" customHeight="1" x14ac:dyDescent="0.2">
      <c r="C20" s="189" t="s">
        <v>302</v>
      </c>
    </row>
    <row r="21" spans="2:3" s="189" customFormat="1" ht="14.25" customHeight="1" x14ac:dyDescent="0.2">
      <c r="C21" s="189" t="s">
        <v>303</v>
      </c>
    </row>
    <row r="22" spans="2:3" s="189" customFormat="1" ht="14.25" customHeight="1" x14ac:dyDescent="0.2">
      <c r="C22" s="189" t="s">
        <v>304</v>
      </c>
    </row>
    <row r="23" spans="2:3" s="189" customFormat="1" ht="14.25" customHeight="1" x14ac:dyDescent="0.2">
      <c r="C23" s="189" t="s">
        <v>305</v>
      </c>
    </row>
    <row r="24" spans="2:3" s="189" customFormat="1" ht="8.1" customHeight="1" x14ac:dyDescent="0.2"/>
    <row r="25" spans="2:3" s="189" customFormat="1" ht="14.25" customHeight="1" x14ac:dyDescent="0.25">
      <c r="B25" s="190" t="s">
        <v>222</v>
      </c>
      <c r="C25" s="192" t="s">
        <v>306</v>
      </c>
    </row>
    <row r="26" spans="2:3" s="189" customFormat="1" ht="14.25" customHeight="1" x14ac:dyDescent="0.2">
      <c r="C26" s="189" t="s">
        <v>307</v>
      </c>
    </row>
    <row r="27" spans="2:3" s="189" customFormat="1" ht="14.25" customHeight="1" x14ac:dyDescent="0.2">
      <c r="C27" s="189" t="s">
        <v>308</v>
      </c>
    </row>
    <row r="28" spans="2:3" s="189" customFormat="1" ht="14.25" customHeight="1" x14ac:dyDescent="0.2">
      <c r="C28" s="189" t="s">
        <v>309</v>
      </c>
    </row>
    <row r="29" spans="2:3" s="189" customFormat="1" ht="14.25" customHeight="1" x14ac:dyDescent="0.2"/>
    <row r="30" spans="2:3" ht="14.25" customHeight="1" x14ac:dyDescent="0.2"/>
    <row r="31" spans="2:3" ht="14.25" customHeight="1" x14ac:dyDescent="0.2"/>
  </sheetData>
  <customSheetViews>
    <customSheetView guid="{C95BCE97-951E-4C98-84AE-A423A99BB34B}" showPageBreaks="1" fitToPage="1" printArea="1">
      <selection activeCell="G24" sqref="G24"/>
      <pageMargins left="0.5" right="1" top="0.85" bottom="0.8" header="0.5" footer="0.35"/>
      <printOptions horizontalCentered="1"/>
      <pageSetup scale="91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G24" sqref="G24"/>
      <pageMargins left="0.5" right="1" top="0.85" bottom="0.8" header="0.5" footer="0.35"/>
      <printOptions horizontalCentered="1"/>
      <pageSetup scale="90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G24" sqref="G24"/>
      <pageMargins left="0.5" right="1" top="0.85" bottom="0.8" header="0.5" footer="0.35"/>
      <printOptions horizontalCentered="1"/>
      <pageSetup scale="91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phoneticPr fontId="11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6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8.85546875" style="3" customWidth="1"/>
    <col min="5" max="5" width="10.140625" style="3" customWidth="1"/>
    <col min="6" max="6" width="10.42578125" style="3" customWidth="1"/>
    <col min="7" max="7" width="9.7109375" style="3" customWidth="1"/>
    <col min="8" max="8" width="2.140625" style="3" customWidth="1"/>
    <col min="9" max="9" width="9.7109375" style="3" customWidth="1"/>
    <col min="10" max="10" width="2.85546875" style="3" customWidth="1"/>
    <col min="11" max="11" width="9.5703125" style="3" customWidth="1"/>
    <col min="12" max="12" width="2.5703125" style="3" customWidth="1"/>
    <col min="13" max="13" width="16.42578125" style="3" bestFit="1" customWidth="1"/>
    <col min="14" max="15" width="9.140625" style="3"/>
    <col min="16" max="16" width="10.42578125" style="318" hidden="1" customWidth="1"/>
    <col min="17" max="17" width="2.7109375" style="318" hidden="1" customWidth="1"/>
    <col min="18" max="18" width="10.7109375" style="318" hidden="1" customWidth="1"/>
    <col min="19" max="19" width="2.7109375" style="318" hidden="1" customWidth="1"/>
    <col min="20" max="20" width="11.42578125" style="318" hidden="1" customWidth="1"/>
    <col min="21" max="21" width="2.7109375" style="220" customWidth="1"/>
    <col min="22" max="22" width="9.140625" style="3"/>
    <col min="23" max="23" width="2.7109375" style="3" customWidth="1"/>
    <col min="24" max="16384" width="9.140625" style="3"/>
  </cols>
  <sheetData>
    <row r="1" spans="2:21" ht="30" customHeight="1" x14ac:dyDescent="0.25"/>
    <row r="2" spans="2:21" ht="15.75" customHeight="1" x14ac:dyDescent="0.25">
      <c r="B2" s="6" t="s">
        <v>153</v>
      </c>
      <c r="N2" s="6"/>
      <c r="O2" s="6"/>
      <c r="U2" s="227"/>
    </row>
    <row r="3" spans="2:21" ht="15.75" customHeight="1" x14ac:dyDescent="0.25">
      <c r="B3" s="10" t="s">
        <v>354</v>
      </c>
      <c r="C3" s="3" t="s">
        <v>57</v>
      </c>
      <c r="H3" s="3" t="s">
        <v>380</v>
      </c>
      <c r="I3" s="5">
        <v>18</v>
      </c>
      <c r="P3" s="299" t="s">
        <v>732</v>
      </c>
      <c r="Q3" s="299"/>
      <c r="R3" s="300">
        <v>18</v>
      </c>
    </row>
    <row r="4" spans="2:21" ht="15.75" customHeight="1" x14ac:dyDescent="0.25">
      <c r="C4" s="3" t="s">
        <v>50</v>
      </c>
      <c r="H4" s="3" t="s">
        <v>380</v>
      </c>
      <c r="I4" s="13">
        <v>12</v>
      </c>
      <c r="P4" s="299" t="s">
        <v>733</v>
      </c>
      <c r="Q4" s="299"/>
      <c r="R4" s="300">
        <v>12</v>
      </c>
    </row>
    <row r="5" spans="2:21" ht="15.75" customHeight="1" x14ac:dyDescent="0.25">
      <c r="C5" s="3" t="s">
        <v>51</v>
      </c>
      <c r="H5" s="3" t="s">
        <v>380</v>
      </c>
      <c r="I5" s="13">
        <v>16</v>
      </c>
      <c r="P5" s="299" t="s">
        <v>799</v>
      </c>
      <c r="Q5" s="299"/>
      <c r="R5" s="300">
        <v>16</v>
      </c>
    </row>
    <row r="6" spans="2:21" ht="15.75" customHeight="1" thickBot="1" x14ac:dyDescent="0.3">
      <c r="C6" s="104" t="s">
        <v>60</v>
      </c>
      <c r="H6" s="3" t="s">
        <v>380</v>
      </c>
      <c r="I6" s="14">
        <f>SUM(I3:I5)</f>
        <v>46</v>
      </c>
    </row>
    <row r="7" spans="2:21" ht="9.75" customHeight="1" thickTop="1" x14ac:dyDescent="0.25"/>
    <row r="8" spans="2:21" ht="15.75" customHeight="1" x14ac:dyDescent="0.25">
      <c r="C8" s="3" t="str">
        <f>CONCATENATE("Total Product Cost = $",I6," × ",TEXT('2-20'!R15,"#,##0")," units = ",TEXT('2-20'!R15*I6,"$#,##0"),)</f>
        <v>Total Product Cost = $46 × 200,000 units = $9,200,000</v>
      </c>
      <c r="J8" s="43"/>
      <c r="K8" s="43"/>
      <c r="L8" s="43"/>
      <c r="P8" s="308">
        <f>I6</f>
        <v>46</v>
      </c>
      <c r="Q8" s="308" t="s">
        <v>469</v>
      </c>
      <c r="R8" s="308">
        <v>200000</v>
      </c>
      <c r="S8" s="308" t="s">
        <v>468</v>
      </c>
      <c r="T8" s="308">
        <f>SUM(P8*R8)</f>
        <v>9200000</v>
      </c>
    </row>
    <row r="9" spans="2:21" ht="5.0999999999999996" customHeight="1" x14ac:dyDescent="0.25"/>
    <row r="10" spans="2:21" ht="5.0999999999999996" customHeight="1" thickBot="1" x14ac:dyDescent="0.3">
      <c r="B10" s="6"/>
    </row>
    <row r="11" spans="2:21" ht="15.75" customHeight="1" x14ac:dyDescent="0.25">
      <c r="B11" s="10" t="s">
        <v>355</v>
      </c>
      <c r="C11" s="253" t="s">
        <v>208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O11" s="6"/>
    </row>
    <row r="12" spans="2:21" ht="15.75" customHeight="1" x14ac:dyDescent="0.25">
      <c r="C12" s="254" t="s">
        <v>349</v>
      </c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O12" s="6"/>
    </row>
    <row r="13" spans="2:21" ht="15.75" customHeight="1" thickBot="1" x14ac:dyDescent="0.3">
      <c r="C13" s="250" t="s">
        <v>209</v>
      </c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O13" s="41"/>
      <c r="P13" s="319"/>
      <c r="Q13" s="319"/>
      <c r="R13" s="319"/>
    </row>
    <row r="14" spans="2:21" ht="5.0999999999999996" customHeight="1" x14ac:dyDescent="0.25">
      <c r="O14" s="41"/>
      <c r="P14" s="319"/>
      <c r="Q14" s="319"/>
      <c r="R14" s="319"/>
    </row>
    <row r="15" spans="2:21" ht="15.75" customHeight="1" x14ac:dyDescent="0.25">
      <c r="C15" s="3" t="str">
        <f>CONCATENATE("Sales revenue (",TEXT(P15,"$#,##0"),Q15,TEXT(R15,"#,##0"),")……………………………………………………………………………………………………………………………………………………………..")</f>
        <v>Sales revenue ($60 × 200,000)……………………………………………………………………………………………………………………………………………………………..</v>
      </c>
      <c r="L15" s="3" t="s">
        <v>380</v>
      </c>
      <c r="M15" s="5">
        <f>R15*P15</f>
        <v>12000000</v>
      </c>
      <c r="O15" s="6"/>
      <c r="P15" s="308">
        <v>60</v>
      </c>
      <c r="Q15" s="308" t="s">
        <v>469</v>
      </c>
      <c r="R15" s="308">
        <f>R8</f>
        <v>200000</v>
      </c>
      <c r="S15" s="308" t="s">
        <v>468</v>
      </c>
      <c r="T15" s="308">
        <f>SUM(P15*R15)</f>
        <v>12000000</v>
      </c>
    </row>
    <row r="16" spans="2:21" ht="15.75" customHeight="1" x14ac:dyDescent="0.25">
      <c r="C16" s="3" t="s">
        <v>63</v>
      </c>
      <c r="L16" s="3" t="s">
        <v>380</v>
      </c>
      <c r="M16" s="59">
        <f>T8</f>
        <v>9200000</v>
      </c>
      <c r="O16" s="6"/>
    </row>
    <row r="17" spans="2:21" ht="15.75" customHeight="1" x14ac:dyDescent="0.25">
      <c r="C17" s="3" t="s">
        <v>64</v>
      </c>
      <c r="L17" s="3" t="s">
        <v>380</v>
      </c>
      <c r="M17" s="77">
        <f>M15-M16</f>
        <v>2800000</v>
      </c>
      <c r="O17" s="6"/>
    </row>
    <row r="18" spans="2:21" ht="5.0999999999999996" customHeight="1" x14ac:dyDescent="0.25">
      <c r="M18" s="77"/>
      <c r="O18" s="6"/>
    </row>
    <row r="19" spans="2:21" ht="15.75" customHeight="1" x14ac:dyDescent="0.25">
      <c r="C19" s="3" t="s">
        <v>350</v>
      </c>
      <c r="O19" s="6"/>
    </row>
    <row r="20" spans="2:21" ht="15.75" customHeight="1" x14ac:dyDescent="0.25">
      <c r="C20" s="104" t="str">
        <f>CONCATENATE("Commissions (",TEXT(P20,"$#,##0"),Q20,TEXT(R20,"#,##0"),")………………………………………………………………………………………………………………………………………………………",)</f>
        <v>Commissions ($2 × 200,000)………………………………………………………………………………………………………………………………………………………</v>
      </c>
      <c r="I20" s="9"/>
      <c r="L20" s="3" t="s">
        <v>380</v>
      </c>
      <c r="M20" s="79">
        <f>P20*R15</f>
        <v>400000</v>
      </c>
      <c r="O20" s="6"/>
      <c r="P20" s="308">
        <v>2</v>
      </c>
      <c r="Q20" s="308" t="s">
        <v>469</v>
      </c>
      <c r="R20" s="308">
        <f>R8</f>
        <v>200000</v>
      </c>
      <c r="S20" s="308" t="s">
        <v>468</v>
      </c>
      <c r="T20" s="308">
        <f>SUM(P20*R20)</f>
        <v>400000</v>
      </c>
    </row>
    <row r="21" spans="2:21" ht="15.75" customHeight="1" x14ac:dyDescent="0.25">
      <c r="C21" s="104" t="s">
        <v>65</v>
      </c>
      <c r="I21" s="20"/>
      <c r="L21" s="3" t="s">
        <v>380</v>
      </c>
      <c r="M21" s="20">
        <v>100000</v>
      </c>
      <c r="O21" s="6"/>
      <c r="R21" s="308"/>
    </row>
    <row r="22" spans="2:21" ht="15.75" customHeight="1" x14ac:dyDescent="0.25">
      <c r="C22" s="104" t="s">
        <v>66</v>
      </c>
      <c r="I22" s="6"/>
      <c r="L22" s="3" t="s">
        <v>380</v>
      </c>
      <c r="M22" s="20">
        <v>300000</v>
      </c>
      <c r="O22" s="6"/>
      <c r="R22" s="308"/>
    </row>
    <row r="23" spans="2:21" ht="15.75" customHeight="1" thickBot="1" x14ac:dyDescent="0.3">
      <c r="C23" s="6" t="s">
        <v>67</v>
      </c>
      <c r="D23" s="6"/>
      <c r="E23" s="6"/>
      <c r="F23" s="6"/>
      <c r="G23" s="6"/>
      <c r="H23" s="6"/>
      <c r="I23" s="6"/>
      <c r="J23" s="6"/>
      <c r="L23" s="3" t="s">
        <v>380</v>
      </c>
      <c r="M23" s="78">
        <f>M17-M20-M21-M22</f>
        <v>2000000</v>
      </c>
      <c r="O23" s="6"/>
      <c r="R23" s="308"/>
    </row>
    <row r="24" spans="2:21" ht="9.75" customHeight="1" thickTop="1" thickBot="1" x14ac:dyDescent="0.3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O24" s="6"/>
    </row>
    <row r="25" spans="2:21" ht="9.75" customHeight="1" x14ac:dyDescent="0.25">
      <c r="O25" s="6"/>
    </row>
    <row r="26" spans="2:21" ht="15.75" customHeight="1" x14ac:dyDescent="0.25">
      <c r="C26" s="3" t="s">
        <v>576</v>
      </c>
      <c r="O26" s="6"/>
      <c r="T26" s="308"/>
      <c r="U26" s="227"/>
    </row>
    <row r="27" spans="2:21" ht="15.75" customHeight="1" x14ac:dyDescent="0.25">
      <c r="C27" s="3" t="s">
        <v>577</v>
      </c>
      <c r="O27" s="6"/>
      <c r="T27" s="308"/>
      <c r="U27" s="227"/>
    </row>
    <row r="28" spans="2:21" ht="15.75" customHeight="1" x14ac:dyDescent="0.25">
      <c r="C28" s="3" t="s">
        <v>578</v>
      </c>
      <c r="O28" s="6"/>
    </row>
    <row r="29" spans="2:21" ht="9.75" customHeight="1" x14ac:dyDescent="0.25"/>
    <row r="30" spans="2:21" ht="15.75" customHeight="1" x14ac:dyDescent="0.25">
      <c r="B30" s="10" t="s">
        <v>356</v>
      </c>
      <c r="C30" s="3" t="str">
        <f>CONCATENATE("The ",TEXT(P30,"#,##0")," tents in beginning finished goods inventory have a cost of ",TEXT(R30,"$#,##0"),", and")</f>
        <v>The 10,000 tents in beginning finished goods inventory have a cost of $40, and</v>
      </c>
      <c r="P30" s="308">
        <v>10000</v>
      </c>
      <c r="R30" s="308">
        <v>40</v>
      </c>
    </row>
    <row r="31" spans="2:21" ht="15.75" customHeight="1" x14ac:dyDescent="0.25">
      <c r="C31" s="3" t="str">
        <f>CONCATENATE("that is ",IF(R30&lt;'2-20'!I6,"lower","more")," than the year’s unit product cost of $",'2-20'!I6,". The FIFO assumption says")</f>
        <v>that is lower than the year’s unit product cost of $46. The FIFO assumption says</v>
      </c>
      <c r="R31" s="308">
        <f>'2-20'!I6</f>
        <v>46</v>
      </c>
    </row>
    <row r="32" spans="2:21" ht="15.75" customHeight="1" x14ac:dyDescent="0.25">
      <c r="C32" s="3" t="s">
        <v>579</v>
      </c>
    </row>
    <row r="33" spans="3:21" ht="15.75" customHeight="1" x14ac:dyDescent="0.25">
      <c r="C33" s="3" t="s">
        <v>581</v>
      </c>
    </row>
    <row r="34" spans="3:21" ht="15.75" customHeight="1" x14ac:dyDescent="0.25">
      <c r="C34" s="3" t="s">
        <v>580</v>
      </c>
    </row>
    <row r="35" spans="3:21" ht="5.0999999999999996" customHeight="1" x14ac:dyDescent="0.25"/>
    <row r="36" spans="3:21" ht="15.75" customHeight="1" x14ac:dyDescent="0.25">
      <c r="C36" s="3" t="str">
        <f>CONCATENATE("Cost of goods manufactured (",TEXT(P36,"$#,##0"),Q36,TEXT(R36,"#,##0"),")………………………………………………………………………………………………………………………………………..")</f>
        <v>Cost of goods manufactured ($46 × 200,000)………………………………………………………………………………………………………………………………………..</v>
      </c>
      <c r="L36" s="3" t="s">
        <v>380</v>
      </c>
      <c r="M36" s="5">
        <f>T36</f>
        <v>9200000</v>
      </c>
      <c r="P36" s="308">
        <f>R31</f>
        <v>46</v>
      </c>
      <c r="Q36" s="308" t="s">
        <v>469</v>
      </c>
      <c r="R36" s="308">
        <f>R8</f>
        <v>200000</v>
      </c>
      <c r="S36" s="308" t="s">
        <v>468</v>
      </c>
      <c r="T36" s="308">
        <f>SUM(P36*R36)</f>
        <v>9200000</v>
      </c>
    </row>
    <row r="37" spans="3:21" ht="15.75" customHeight="1" x14ac:dyDescent="0.25">
      <c r="C37" s="3" t="str">
        <f>CONCATENATE("Beginning inventory finished goods (",TEXT(P37,"$#,##0"),Q37,TEXT(R37,"#,##0"),")………………………………………………………………………………………………………………………………………..")</f>
        <v>Beginning inventory finished goods ($40 × 10,000)………………………………………………………………………………………………………………………………………..</v>
      </c>
      <c r="L37" s="3" t="s">
        <v>380</v>
      </c>
      <c r="M37" s="20">
        <f>T37</f>
        <v>400000</v>
      </c>
      <c r="P37" s="308">
        <f>R30</f>
        <v>40</v>
      </c>
      <c r="Q37" s="308" t="s">
        <v>469</v>
      </c>
      <c r="R37" s="308">
        <f>P30</f>
        <v>10000</v>
      </c>
      <c r="S37" s="308" t="s">
        <v>468</v>
      </c>
      <c r="T37" s="308">
        <f>SUM(P37*R37)</f>
        <v>400000</v>
      </c>
    </row>
    <row r="38" spans="3:21" ht="15.75" customHeight="1" x14ac:dyDescent="0.25">
      <c r="C38" s="3" t="str">
        <f>CONCATENATE("Ending inventory finished goods (",TEXT(P38,"$#,##0"),Q38,TEXT(R38,"#,##0"),")………………………………………………………………………………………………………………………………………..")</f>
        <v>Ending inventory finished goods ($46 × 10,000)………………………………………………………………………………………………………………………………………..</v>
      </c>
      <c r="L38" s="3" t="s">
        <v>380</v>
      </c>
      <c r="M38" s="90">
        <f>-T38</f>
        <v>-460000</v>
      </c>
      <c r="P38" s="308">
        <f>R31</f>
        <v>46</v>
      </c>
      <c r="Q38" s="308" t="s">
        <v>469</v>
      </c>
      <c r="R38" s="308">
        <f>P30</f>
        <v>10000</v>
      </c>
      <c r="S38" s="308" t="s">
        <v>468</v>
      </c>
      <c r="T38" s="308">
        <f>SUM(P38*R38)</f>
        <v>460000</v>
      </c>
    </row>
    <row r="39" spans="3:21" ht="15.75" customHeight="1" thickBot="1" x14ac:dyDescent="0.3">
      <c r="C39" s="104" t="s">
        <v>62</v>
      </c>
      <c r="L39" s="3" t="s">
        <v>380</v>
      </c>
      <c r="M39" s="14">
        <f>M36+M37+M38</f>
        <v>9140000</v>
      </c>
    </row>
    <row r="40" spans="3:21" ht="9.75" customHeight="1" thickTop="1" x14ac:dyDescent="0.25"/>
    <row r="41" spans="3:21" ht="15.75" customHeight="1" x14ac:dyDescent="0.25"/>
    <row r="42" spans="3:21" ht="15.75" customHeight="1" x14ac:dyDescent="0.25"/>
    <row r="43" spans="3:21" ht="15.75" customHeight="1" x14ac:dyDescent="0.25"/>
    <row r="44" spans="3:21" s="49" customFormat="1" ht="5.0999999999999996" customHeight="1" x14ac:dyDescent="0.25">
      <c r="P44" s="318"/>
      <c r="Q44" s="318"/>
      <c r="R44" s="318"/>
      <c r="S44" s="318"/>
      <c r="T44" s="318"/>
      <c r="U44" s="232"/>
    </row>
    <row r="45" spans="3:21" ht="15.75" customHeight="1" x14ac:dyDescent="0.25"/>
    <row r="46" spans="3:21" ht="15.75" customHeight="1" x14ac:dyDescent="0.25"/>
    <row r="47" spans="3:21" ht="15.75" customHeight="1" x14ac:dyDescent="0.25"/>
    <row r="48" spans="3:2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9.75" customHeight="1" x14ac:dyDescent="0.25"/>
    <row r="54" ht="9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customSheetViews>
    <customSheetView guid="{C95BCE97-951E-4C98-84AE-A423A99BB34B}" showPageBreaks="1" fitToPage="1" printArea="1">
      <selection activeCell="I35" sqref="I35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I35" sqref="I35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32">
      <pageMargins left="1" right="0.5" top="0.85" bottom="0.8" header="0.5" footer="0.35"/>
      <pageSetup scale="94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6">
    <mergeCell ref="C11:M11"/>
    <mergeCell ref="C12:M12"/>
    <mergeCell ref="C13:M13"/>
    <mergeCell ref="P3:Q3"/>
    <mergeCell ref="P4:Q4"/>
    <mergeCell ref="P5:Q5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7"/>
  <sheetViews>
    <sheetView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8.85546875" style="3" customWidth="1"/>
    <col min="5" max="5" width="10.140625" style="3" customWidth="1"/>
    <col min="6" max="6" width="10.42578125" style="3" customWidth="1"/>
    <col min="7" max="7" width="7.42578125" style="3" customWidth="1"/>
    <col min="8" max="8" width="13.140625" style="3" customWidth="1"/>
    <col min="9" max="9" width="2.85546875" style="3" customWidth="1"/>
    <col min="10" max="10" width="11.42578125" style="3" customWidth="1"/>
    <col min="11" max="11" width="2.7109375" style="3" customWidth="1"/>
    <col min="12" max="12" width="15.85546875" style="3" bestFit="1" customWidth="1"/>
    <col min="13" max="14" width="9.140625" style="3"/>
    <col min="15" max="15" width="13.28515625" style="300" hidden="1" customWidth="1"/>
    <col min="16" max="16" width="2.7109375" style="300" hidden="1" customWidth="1"/>
    <col min="17" max="17" width="10.7109375" style="300" hidden="1" customWidth="1"/>
    <col min="18" max="18" width="2.7109375" style="300" hidden="1" customWidth="1"/>
    <col min="19" max="19" width="11.42578125" style="300" hidden="1" customWidth="1"/>
    <col min="20" max="20" width="2.7109375" style="300" hidden="1" customWidth="1"/>
    <col min="21" max="21" width="0" style="300" hidden="1" customWidth="1"/>
    <col min="22" max="22" width="2.7109375" style="224" customWidth="1"/>
    <col min="23" max="23" width="9.140625" style="224"/>
    <col min="24" max="16384" width="9.140625" style="3"/>
  </cols>
  <sheetData>
    <row r="1" spans="2:23" ht="30" customHeight="1" x14ac:dyDescent="0.25"/>
    <row r="2" spans="2:23" ht="15.75" customHeight="1" x14ac:dyDescent="0.25">
      <c r="B2" s="6" t="s">
        <v>154</v>
      </c>
      <c r="M2" s="6"/>
      <c r="N2" s="6"/>
    </row>
    <row r="3" spans="2:23" ht="9.75" customHeight="1" thickBot="1" x14ac:dyDescent="0.3"/>
    <row r="4" spans="2:23" ht="15.75" customHeight="1" x14ac:dyDescent="0.25">
      <c r="C4" s="253" t="s">
        <v>208</v>
      </c>
      <c r="D4" s="253"/>
      <c r="E4" s="253"/>
      <c r="F4" s="253"/>
      <c r="G4" s="253"/>
      <c r="H4" s="253"/>
      <c r="I4" s="253"/>
      <c r="J4" s="253"/>
      <c r="K4" s="253"/>
      <c r="L4" s="253"/>
    </row>
    <row r="5" spans="2:23" ht="15.75" customHeight="1" x14ac:dyDescent="0.25">
      <c r="C5" s="254" t="s">
        <v>391</v>
      </c>
      <c r="D5" s="254"/>
      <c r="E5" s="254"/>
      <c r="F5" s="254"/>
      <c r="G5" s="254"/>
      <c r="H5" s="254"/>
      <c r="I5" s="254"/>
      <c r="J5" s="254"/>
      <c r="K5" s="254"/>
      <c r="L5" s="254"/>
    </row>
    <row r="6" spans="2:23" ht="15.75" customHeight="1" thickBot="1" x14ac:dyDescent="0.3">
      <c r="C6" s="250" t="s">
        <v>209</v>
      </c>
      <c r="D6" s="250"/>
      <c r="E6" s="250"/>
      <c r="F6" s="250"/>
      <c r="G6" s="250"/>
      <c r="H6" s="250"/>
      <c r="I6" s="250"/>
      <c r="J6" s="250"/>
      <c r="K6" s="250"/>
      <c r="L6" s="250"/>
    </row>
    <row r="7" spans="2:23" s="49" customFormat="1" ht="5.0999999999999996" customHeight="1" x14ac:dyDescent="0.25">
      <c r="C7" s="282"/>
      <c r="D7" s="282"/>
      <c r="E7" s="282"/>
      <c r="F7" s="282"/>
      <c r="G7" s="282"/>
      <c r="H7" s="282"/>
      <c r="I7" s="282"/>
      <c r="J7" s="282"/>
      <c r="K7" s="282"/>
      <c r="L7" s="282"/>
      <c r="O7" s="300"/>
      <c r="P7" s="300"/>
      <c r="Q7" s="300"/>
      <c r="R7" s="300"/>
      <c r="S7" s="300"/>
      <c r="T7" s="300"/>
      <c r="U7" s="300"/>
      <c r="V7" s="233"/>
      <c r="W7" s="233"/>
    </row>
    <row r="8" spans="2:23" ht="15.75" customHeight="1" x14ac:dyDescent="0.25">
      <c r="C8" s="3" t="str">
        <f>CONCATENATE("Sales revenue (",TEXT(O8,"$#,##0"),P8,TEXT(Q8,"#,##0"),")……………………………………………………………………………………………………………………………………………………………………….")</f>
        <v>Sales revenue ($60 × 200,000)……………………………………………………………………………………………………………………………………………………………………….</v>
      </c>
      <c r="K8" s="3" t="s">
        <v>380</v>
      </c>
      <c r="L8" s="96">
        <f>S8</f>
        <v>12000000</v>
      </c>
      <c r="O8" s="308">
        <f>'2-20'!P15</f>
        <v>60</v>
      </c>
      <c r="P8" s="308" t="s">
        <v>469</v>
      </c>
      <c r="Q8" s="308">
        <f>'2-20'!R8</f>
        <v>200000</v>
      </c>
      <c r="R8" s="308" t="s">
        <v>468</v>
      </c>
      <c r="S8" s="308">
        <f>SUM(O8*Q8)</f>
        <v>12000000</v>
      </c>
    </row>
    <row r="9" spans="2:23" ht="15.75" customHeight="1" x14ac:dyDescent="0.25">
      <c r="C9" s="3" t="s">
        <v>61</v>
      </c>
      <c r="K9" s="3" t="s">
        <v>380</v>
      </c>
      <c r="L9" s="15">
        <f>'2-20'!M39</f>
        <v>9140000</v>
      </c>
    </row>
    <row r="10" spans="2:23" ht="15.75" customHeight="1" x14ac:dyDescent="0.25">
      <c r="C10" s="3" t="s">
        <v>68</v>
      </c>
      <c r="K10" s="3" t="s">
        <v>380</v>
      </c>
      <c r="L10" s="77">
        <f>L8-L9</f>
        <v>2860000</v>
      </c>
    </row>
    <row r="11" spans="2:23" ht="15.75" customHeight="1" x14ac:dyDescent="0.25">
      <c r="C11" s="3" t="s">
        <v>350</v>
      </c>
    </row>
    <row r="12" spans="2:23" ht="15.75" customHeight="1" x14ac:dyDescent="0.25">
      <c r="C12" s="104" t="str">
        <f>CONCATENATE("Commissions (",TEXT(O12,"$#,##0"),P12,TEXT(Q12,"#,##0"),")…………………………………………………………………………………………………………………………………………………………",)</f>
        <v>Commissions ($2 × 200,000)…………………………………………………………………………………………………………………………………………………………</v>
      </c>
      <c r="H12" s="9"/>
      <c r="K12" s="3" t="s">
        <v>380</v>
      </c>
      <c r="L12" s="200">
        <f>S12</f>
        <v>400000</v>
      </c>
      <c r="O12" s="308">
        <f>'2-20'!P20</f>
        <v>2</v>
      </c>
      <c r="P12" s="308" t="s">
        <v>469</v>
      </c>
      <c r="Q12" s="308">
        <f>'2-20'!R8</f>
        <v>200000</v>
      </c>
      <c r="R12" s="308" t="s">
        <v>468</v>
      </c>
      <c r="S12" s="308">
        <f>SUM(O12*Q12)</f>
        <v>400000</v>
      </c>
    </row>
    <row r="13" spans="2:23" ht="15.75" customHeight="1" x14ac:dyDescent="0.25">
      <c r="C13" s="104" t="s">
        <v>69</v>
      </c>
      <c r="H13" s="20"/>
      <c r="K13" s="3" t="s">
        <v>380</v>
      </c>
      <c r="L13" s="20">
        <f>'2-20'!M21</f>
        <v>100000</v>
      </c>
    </row>
    <row r="14" spans="2:23" ht="15.75" customHeight="1" x14ac:dyDescent="0.25">
      <c r="C14" s="104" t="s">
        <v>70</v>
      </c>
      <c r="H14" s="6"/>
      <c r="K14" s="3" t="s">
        <v>380</v>
      </c>
      <c r="L14" s="20">
        <f>'2-20'!M22</f>
        <v>300000</v>
      </c>
    </row>
    <row r="15" spans="2:23" ht="15.75" customHeight="1" thickBot="1" x14ac:dyDescent="0.3">
      <c r="C15" s="6" t="s">
        <v>71</v>
      </c>
      <c r="D15" s="6"/>
      <c r="E15" s="6"/>
      <c r="F15" s="6"/>
      <c r="G15" s="6"/>
      <c r="H15" s="6"/>
      <c r="I15" s="6"/>
      <c r="K15" s="3" t="s">
        <v>380</v>
      </c>
      <c r="L15" s="78">
        <f>L10-L12-L13-L14</f>
        <v>2060000</v>
      </c>
    </row>
    <row r="16" spans="2:23" ht="9.75" customHeight="1" thickTop="1" thickBot="1" x14ac:dyDescent="0.3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21" ht="15.75" customHeight="1" x14ac:dyDescent="0.25"/>
    <row r="18" spans="2:21" ht="15.75" customHeight="1" x14ac:dyDescent="0.25">
      <c r="B18" s="6" t="s">
        <v>406</v>
      </c>
      <c r="N18" s="6"/>
    </row>
    <row r="19" spans="2:21" ht="15.75" customHeight="1" x14ac:dyDescent="0.25">
      <c r="B19" s="10" t="s">
        <v>354</v>
      </c>
      <c r="C19" s="3" t="str">
        <f>CONCATENATE("Direct Materials = ",TEXT(O19,"$#,##0"),P19,TEXT(Q19,"$#,##0"),R19,TEXT(S19,"$#,##0"),T19,TEXT(U19,"$#,##0"),)</f>
        <v>Direct Materials = $3,475 + $15,000 – $9,500 = $8,975</v>
      </c>
      <c r="I19" s="43"/>
      <c r="O19" s="308">
        <f>Q31</f>
        <v>3475</v>
      </c>
      <c r="P19" s="308" t="s">
        <v>467</v>
      </c>
      <c r="Q19" s="308">
        <f>Q23</f>
        <v>15000</v>
      </c>
      <c r="R19" s="308" t="s">
        <v>470</v>
      </c>
      <c r="S19" s="308">
        <f>-Q34</f>
        <v>9500</v>
      </c>
      <c r="T19" s="308" t="s">
        <v>468</v>
      </c>
      <c r="U19" s="308">
        <f>SUM(O19+Q19-S19)</f>
        <v>8975</v>
      </c>
    </row>
    <row r="20" spans="2:21" ht="9.75" customHeight="1" thickBot="1" x14ac:dyDescent="0.3">
      <c r="N20" s="41"/>
      <c r="O20" s="302"/>
      <c r="P20" s="302"/>
      <c r="Q20" s="302"/>
      <c r="R20" s="302"/>
      <c r="S20" s="302"/>
      <c r="T20" s="302"/>
    </row>
    <row r="21" spans="2:21" ht="15.75" customHeight="1" x14ac:dyDescent="0.25">
      <c r="C21" s="253" t="s">
        <v>392</v>
      </c>
      <c r="D21" s="253"/>
      <c r="E21" s="253"/>
      <c r="F21" s="253"/>
      <c r="G21" s="253"/>
      <c r="H21" s="253"/>
      <c r="I21" s="253"/>
      <c r="J21" s="253"/>
      <c r="K21" s="253"/>
      <c r="L21" s="253"/>
      <c r="N21" s="6"/>
    </row>
    <row r="22" spans="2:21" ht="15.75" customHeight="1" x14ac:dyDescent="0.25">
      <c r="C22" s="254" t="s">
        <v>393</v>
      </c>
      <c r="D22" s="254"/>
      <c r="E22" s="254"/>
      <c r="F22" s="254"/>
      <c r="G22" s="254"/>
      <c r="H22" s="254"/>
      <c r="I22" s="254"/>
      <c r="J22" s="254"/>
      <c r="K22" s="254"/>
      <c r="L22" s="254"/>
      <c r="N22" s="6"/>
      <c r="O22" s="316" t="s">
        <v>732</v>
      </c>
      <c r="P22" s="316"/>
      <c r="Q22" s="306">
        <v>10500</v>
      </c>
    </row>
    <row r="23" spans="2:21" ht="15" customHeight="1" thickBot="1" x14ac:dyDescent="0.3">
      <c r="C23" s="250" t="s">
        <v>394</v>
      </c>
      <c r="D23" s="250"/>
      <c r="E23" s="250"/>
      <c r="F23" s="250"/>
      <c r="G23" s="250"/>
      <c r="H23" s="250"/>
      <c r="I23" s="250"/>
      <c r="J23" s="250"/>
      <c r="K23" s="250"/>
      <c r="L23" s="250"/>
      <c r="N23" s="6"/>
      <c r="O23" s="316" t="s">
        <v>773</v>
      </c>
      <c r="P23" s="316"/>
      <c r="Q23" s="306">
        <v>15000</v>
      </c>
    </row>
    <row r="24" spans="2:21" ht="5.0999999999999996" customHeight="1" x14ac:dyDescent="0.25">
      <c r="N24" s="6"/>
      <c r="O24" s="316"/>
      <c r="P24" s="316"/>
      <c r="Q24" s="306"/>
    </row>
    <row r="25" spans="2:21" ht="15" customHeight="1" x14ac:dyDescent="0.25">
      <c r="C25" s="3" t="s">
        <v>72</v>
      </c>
      <c r="J25" s="3" t="s">
        <v>380</v>
      </c>
      <c r="L25" s="81">
        <f>U19</f>
        <v>8975</v>
      </c>
      <c r="N25" s="6"/>
      <c r="O25" s="316" t="s">
        <v>800</v>
      </c>
      <c r="P25" s="316"/>
      <c r="Q25" s="306">
        <v>675</v>
      </c>
    </row>
    <row r="26" spans="2:21" ht="15" customHeight="1" x14ac:dyDescent="0.25">
      <c r="C26" s="3" t="s">
        <v>73</v>
      </c>
      <c r="I26" s="3" t="s">
        <v>380</v>
      </c>
      <c r="J26" s="3" t="s">
        <v>380</v>
      </c>
      <c r="L26" s="13">
        <f>Q22</f>
        <v>10500</v>
      </c>
      <c r="N26" s="6"/>
      <c r="O26" s="316" t="s">
        <v>801</v>
      </c>
      <c r="P26" s="316"/>
      <c r="Q26" s="306">
        <v>350</v>
      </c>
    </row>
    <row r="27" spans="2:21" ht="15" customHeight="1" x14ac:dyDescent="0.25">
      <c r="C27" s="3" t="s">
        <v>395</v>
      </c>
      <c r="J27" s="3" t="s">
        <v>380</v>
      </c>
      <c r="N27" s="6"/>
      <c r="O27" s="316" t="s">
        <v>334</v>
      </c>
      <c r="P27" s="316"/>
      <c r="Q27" s="306">
        <v>2500</v>
      </c>
    </row>
    <row r="28" spans="2:21" ht="15" customHeight="1" x14ac:dyDescent="0.25">
      <c r="C28" s="104" t="s">
        <v>74</v>
      </c>
      <c r="I28" s="3" t="s">
        <v>380</v>
      </c>
      <c r="J28" s="80">
        <f>Q25</f>
        <v>675</v>
      </c>
      <c r="N28" s="6"/>
      <c r="O28" s="316" t="s">
        <v>802</v>
      </c>
      <c r="P28" s="316"/>
      <c r="Q28" s="306">
        <v>2225</v>
      </c>
    </row>
    <row r="29" spans="2:21" ht="15" customHeight="1" x14ac:dyDescent="0.25">
      <c r="C29" s="104" t="s">
        <v>75</v>
      </c>
      <c r="I29" s="3" t="s">
        <v>380</v>
      </c>
      <c r="J29" s="13">
        <f>Q26</f>
        <v>350</v>
      </c>
      <c r="N29" s="6"/>
      <c r="O29" s="316" t="s">
        <v>405</v>
      </c>
      <c r="P29" s="316"/>
      <c r="Q29" s="306">
        <v>800</v>
      </c>
    </row>
    <row r="30" spans="2:21" x14ac:dyDescent="0.25">
      <c r="C30" s="104" t="s">
        <v>76</v>
      </c>
      <c r="I30" s="3" t="s">
        <v>380</v>
      </c>
      <c r="J30" s="13">
        <f>Q28</f>
        <v>2225</v>
      </c>
      <c r="N30" s="6"/>
      <c r="O30" s="316" t="s">
        <v>803</v>
      </c>
      <c r="P30" s="316"/>
      <c r="Q30" s="306">
        <v>3750</v>
      </c>
    </row>
    <row r="31" spans="2:21" x14ac:dyDescent="0.25">
      <c r="C31" s="104" t="s">
        <v>77</v>
      </c>
      <c r="I31" s="3" t="s">
        <v>380</v>
      </c>
      <c r="J31" s="15">
        <f>Q30</f>
        <v>3750</v>
      </c>
      <c r="L31" s="15">
        <f>SUM(J28:J31)</f>
        <v>7000</v>
      </c>
      <c r="N31" s="6"/>
      <c r="O31" s="316" t="s">
        <v>804</v>
      </c>
      <c r="P31" s="316"/>
      <c r="Q31" s="306">
        <v>3475</v>
      </c>
    </row>
    <row r="32" spans="2:21" x14ac:dyDescent="0.25">
      <c r="C32" s="3" t="s">
        <v>78</v>
      </c>
      <c r="I32" s="3" t="s">
        <v>380</v>
      </c>
      <c r="J32" s="3" t="s">
        <v>380</v>
      </c>
      <c r="L32" s="82">
        <f>SUM(L25:L31)</f>
        <v>26475</v>
      </c>
      <c r="N32" s="6"/>
      <c r="O32" s="316" t="s">
        <v>808</v>
      </c>
      <c r="P32" s="316"/>
      <c r="Q32" s="306">
        <v>12500</v>
      </c>
    </row>
    <row r="33" spans="2:17" x14ac:dyDescent="0.25">
      <c r="C33" s="3" t="s">
        <v>79</v>
      </c>
      <c r="I33" s="3" t="s">
        <v>380</v>
      </c>
      <c r="J33" s="3" t="s">
        <v>380</v>
      </c>
      <c r="L33" s="13">
        <f>Q32</f>
        <v>12500</v>
      </c>
      <c r="N33" s="6"/>
      <c r="O33" s="316" t="s">
        <v>805</v>
      </c>
      <c r="P33" s="316"/>
      <c r="Q33" s="306">
        <v>6685</v>
      </c>
    </row>
    <row r="34" spans="2:17" x14ac:dyDescent="0.25">
      <c r="C34" s="3" t="s">
        <v>80</v>
      </c>
      <c r="I34" s="3" t="s">
        <v>380</v>
      </c>
      <c r="J34" s="3" t="s">
        <v>380</v>
      </c>
      <c r="L34" s="46">
        <f>Q35</f>
        <v>-14250</v>
      </c>
      <c r="N34" s="6"/>
      <c r="O34" s="316" t="s">
        <v>806</v>
      </c>
      <c r="P34" s="316"/>
      <c r="Q34" s="306">
        <v>-9500</v>
      </c>
    </row>
    <row r="35" spans="2:17" ht="16.5" thickBot="1" x14ac:dyDescent="0.3">
      <c r="C35" s="105" t="s">
        <v>81</v>
      </c>
      <c r="E35" s="6"/>
      <c r="F35" s="6"/>
      <c r="G35" s="6"/>
      <c r="H35" s="6"/>
      <c r="I35" s="6" t="s">
        <v>380</v>
      </c>
      <c r="J35" s="6" t="s">
        <v>380</v>
      </c>
      <c r="K35" s="6"/>
      <c r="L35" s="83">
        <f>SUM(L32:L34)</f>
        <v>24725</v>
      </c>
      <c r="N35" s="6"/>
      <c r="O35" s="316" t="s">
        <v>807</v>
      </c>
      <c r="P35" s="316"/>
      <c r="Q35" s="306">
        <v>-14250</v>
      </c>
    </row>
    <row r="36" spans="2:17" ht="9.75" customHeight="1" thickTop="1" thickBot="1" x14ac:dyDescent="0.3">
      <c r="C36" s="7"/>
      <c r="D36" s="7"/>
      <c r="E36" s="7"/>
      <c r="F36" s="7"/>
      <c r="G36" s="7"/>
      <c r="H36" s="7"/>
      <c r="I36" s="7"/>
      <c r="J36" s="7"/>
      <c r="K36" s="7"/>
      <c r="L36" s="7"/>
      <c r="N36" s="6"/>
      <c r="O36" s="303"/>
      <c r="P36" s="303"/>
      <c r="Q36" s="306"/>
    </row>
    <row r="37" spans="2:17" ht="12" customHeight="1" thickBot="1" x14ac:dyDescent="0.3">
      <c r="N37" s="6"/>
      <c r="O37" s="316" t="s">
        <v>809</v>
      </c>
      <c r="P37" s="316"/>
      <c r="Q37" s="306">
        <v>-4250</v>
      </c>
    </row>
    <row r="38" spans="2:17" x14ac:dyDescent="0.25">
      <c r="B38" s="10" t="s">
        <v>355</v>
      </c>
      <c r="C38" s="253" t="s">
        <v>392</v>
      </c>
      <c r="D38" s="253"/>
      <c r="E38" s="253"/>
      <c r="F38" s="253"/>
      <c r="G38" s="253"/>
      <c r="H38" s="253"/>
      <c r="I38" s="253"/>
      <c r="J38" s="253"/>
      <c r="K38" s="253"/>
      <c r="L38" s="253"/>
      <c r="N38" s="6"/>
      <c r="O38" s="303"/>
      <c r="P38" s="303"/>
    </row>
    <row r="39" spans="2:17" x14ac:dyDescent="0.25">
      <c r="C39" s="254" t="s">
        <v>396</v>
      </c>
      <c r="D39" s="254"/>
      <c r="E39" s="254"/>
      <c r="F39" s="254"/>
      <c r="G39" s="254"/>
      <c r="H39" s="254"/>
      <c r="I39" s="254"/>
      <c r="J39" s="254"/>
      <c r="K39" s="254"/>
      <c r="L39" s="254"/>
    </row>
    <row r="40" spans="2:17" ht="16.5" thickBot="1" x14ac:dyDescent="0.3">
      <c r="C40" s="250" t="s">
        <v>394</v>
      </c>
      <c r="D40" s="250"/>
      <c r="E40" s="250"/>
      <c r="F40" s="250"/>
      <c r="G40" s="250"/>
      <c r="H40" s="250"/>
      <c r="I40" s="250"/>
      <c r="J40" s="250"/>
      <c r="K40" s="250"/>
      <c r="L40" s="250"/>
    </row>
    <row r="41" spans="2:17" ht="5.0999999999999996" customHeight="1" x14ac:dyDescent="0.25"/>
    <row r="42" spans="2:17" x14ac:dyDescent="0.25">
      <c r="C42" s="3" t="s">
        <v>155</v>
      </c>
      <c r="K42" s="3" t="s">
        <v>380</v>
      </c>
      <c r="L42" s="91">
        <f>L35</f>
        <v>24725</v>
      </c>
    </row>
    <row r="43" spans="2:17" x14ac:dyDescent="0.25">
      <c r="C43" s="3" t="s">
        <v>156</v>
      </c>
      <c r="K43" s="3" t="s">
        <v>380</v>
      </c>
      <c r="L43" s="13">
        <f>Q33</f>
        <v>6685</v>
      </c>
    </row>
    <row r="44" spans="2:17" x14ac:dyDescent="0.25">
      <c r="C44" s="3" t="s">
        <v>157</v>
      </c>
      <c r="K44" s="3" t="s">
        <v>380</v>
      </c>
      <c r="L44" s="46">
        <f>Q37</f>
        <v>-4250</v>
      </c>
    </row>
    <row r="45" spans="2:17" ht="16.5" thickBot="1" x14ac:dyDescent="0.3">
      <c r="C45" s="104" t="s">
        <v>158</v>
      </c>
      <c r="K45" s="3" t="s">
        <v>380</v>
      </c>
      <c r="L45" s="92">
        <f>SUM(L42:L44)</f>
        <v>27160</v>
      </c>
    </row>
    <row r="46" spans="2:17" ht="9.75" customHeight="1" thickTop="1" thickBot="1" x14ac:dyDescent="0.3"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2:17" ht="5.0999999999999996" customHeight="1" x14ac:dyDescent="0.25"/>
  </sheetData>
  <customSheetViews>
    <customSheetView guid="{C95BCE97-951E-4C98-84AE-A423A99BB34B}" showPageBreaks="1" fitToPage="1" printArea="1" topLeftCell="A25"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25">
      <pageMargins left="0.5" right="1" top="0.85" bottom="0.8" header="0.5" footer="0.35"/>
      <printOptions horizontalCentered="1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 topLeftCell="A25">
      <pageMargins left="0.5" right="1" top="0.85" bottom="0.8" header="0.5" footer="0.35"/>
      <printOptions horizontalCentered="1"/>
      <pageSetup scale="93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25">
    <mergeCell ref="O27:P27"/>
    <mergeCell ref="O34:P34"/>
    <mergeCell ref="O35:P35"/>
    <mergeCell ref="O37:P37"/>
    <mergeCell ref="O28:P28"/>
    <mergeCell ref="O29:P29"/>
    <mergeCell ref="O30:P30"/>
    <mergeCell ref="O31:P31"/>
    <mergeCell ref="O32:P32"/>
    <mergeCell ref="O33:P33"/>
    <mergeCell ref="O22:P22"/>
    <mergeCell ref="O23:P23"/>
    <mergeCell ref="O24:P24"/>
    <mergeCell ref="O25:P25"/>
    <mergeCell ref="O26:P26"/>
    <mergeCell ref="C40:L40"/>
    <mergeCell ref="C21:L21"/>
    <mergeCell ref="C22:L22"/>
    <mergeCell ref="C23:L23"/>
    <mergeCell ref="C38:L38"/>
    <mergeCell ref="C5:L5"/>
    <mergeCell ref="C6:L6"/>
    <mergeCell ref="C7:L7"/>
    <mergeCell ref="C4:L4"/>
    <mergeCell ref="C39:L39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3"/>
  <sheetViews>
    <sheetView showGridLines="0" zoomScale="70" zoomScaleNormal="70" workbookViewId="0"/>
  </sheetViews>
  <sheetFormatPr defaultRowHeight="15.75" x14ac:dyDescent="0.25"/>
  <cols>
    <col min="1" max="1" width="2.28515625" style="3" customWidth="1"/>
    <col min="2" max="2" width="3.85546875" style="3" customWidth="1"/>
    <col min="3" max="3" width="3.5703125" style="3" customWidth="1"/>
    <col min="4" max="4" width="4.7109375" style="3" customWidth="1"/>
    <col min="5" max="6" width="9.140625" style="3"/>
    <col min="7" max="7" width="12" style="3" customWidth="1"/>
    <col min="8" max="8" width="10.140625" style="3" customWidth="1"/>
    <col min="9" max="9" width="8.85546875" style="3" customWidth="1"/>
    <col min="10" max="10" width="7" style="3" customWidth="1"/>
    <col min="11" max="11" width="9.85546875" style="3" customWidth="1"/>
    <col min="12" max="12" width="12.7109375" style="3" customWidth="1"/>
    <col min="13" max="17" width="9.140625" style="3"/>
    <col min="18" max="18" width="14" style="3" bestFit="1" customWidth="1"/>
    <col min="19" max="16384" width="9.140625" style="3"/>
  </cols>
  <sheetData>
    <row r="1" spans="2:10" ht="30" customHeight="1" x14ac:dyDescent="0.25"/>
    <row r="2" spans="2:10" ht="15.75" customHeight="1" x14ac:dyDescent="0.25">
      <c r="B2" s="54" t="s">
        <v>407</v>
      </c>
    </row>
    <row r="3" spans="2:10" ht="15.75" customHeight="1" x14ac:dyDescent="0.25">
      <c r="B3" s="10" t="s">
        <v>354</v>
      </c>
      <c r="C3" s="3" t="s">
        <v>344</v>
      </c>
      <c r="D3" s="3" t="s">
        <v>583</v>
      </c>
    </row>
    <row r="4" spans="2:10" ht="15.75" customHeight="1" x14ac:dyDescent="0.25">
      <c r="D4" s="3" t="s">
        <v>582</v>
      </c>
    </row>
    <row r="5" spans="2:10" ht="9.75" customHeight="1" x14ac:dyDescent="0.25"/>
    <row r="6" spans="2:10" ht="15.75" customHeight="1" x14ac:dyDescent="0.25">
      <c r="B6" s="10" t="s">
        <v>355</v>
      </c>
      <c r="C6" s="3" t="s">
        <v>342</v>
      </c>
      <c r="D6" s="3" t="s">
        <v>20</v>
      </c>
    </row>
    <row r="7" spans="2:10" ht="15.75" customHeight="1" x14ac:dyDescent="0.25">
      <c r="D7" s="3" t="s">
        <v>21</v>
      </c>
    </row>
    <row r="8" spans="2:10" ht="9.75" customHeight="1" x14ac:dyDescent="0.25"/>
    <row r="9" spans="2:10" ht="15.75" customHeight="1" x14ac:dyDescent="0.25">
      <c r="B9" s="10" t="s">
        <v>356</v>
      </c>
      <c r="C9" s="3" t="s">
        <v>343</v>
      </c>
      <c r="D9" s="3" t="s">
        <v>22</v>
      </c>
    </row>
    <row r="10" spans="2:10" ht="15.75" customHeight="1" x14ac:dyDescent="0.25">
      <c r="D10" s="3" t="s">
        <v>23</v>
      </c>
    </row>
    <row r="11" spans="2:10" ht="15.75" customHeight="1" x14ac:dyDescent="0.25">
      <c r="D11" s="3" t="s">
        <v>24</v>
      </c>
    </row>
    <row r="12" spans="2:10" ht="9.75" customHeight="1" x14ac:dyDescent="0.25"/>
    <row r="13" spans="2:10" ht="15.75" customHeight="1" x14ac:dyDescent="0.25">
      <c r="B13" s="10" t="s">
        <v>357</v>
      </c>
      <c r="C13" s="3" t="s">
        <v>251</v>
      </c>
      <c r="D13" s="3" t="s">
        <v>585</v>
      </c>
    </row>
    <row r="14" spans="2:10" ht="15.75" customHeight="1" x14ac:dyDescent="0.25">
      <c r="D14" s="3" t="s">
        <v>584</v>
      </c>
      <c r="J14" s="54"/>
    </row>
    <row r="15" spans="2:10" ht="9.75" customHeight="1" x14ac:dyDescent="0.25"/>
    <row r="16" spans="2:10" ht="15.75" customHeight="1" x14ac:dyDescent="0.25">
      <c r="B16" s="10" t="s">
        <v>358</v>
      </c>
      <c r="C16" s="3" t="s">
        <v>250</v>
      </c>
      <c r="D16" s="3" t="s">
        <v>25</v>
      </c>
    </row>
    <row r="17" spans="2:23" ht="15.75" customHeight="1" x14ac:dyDescent="0.25">
      <c r="D17" s="3" t="s">
        <v>26</v>
      </c>
    </row>
    <row r="18" spans="2:23" ht="9.75" customHeight="1" x14ac:dyDescent="0.25"/>
    <row r="19" spans="2:23" ht="15.75" customHeight="1" x14ac:dyDescent="0.25">
      <c r="B19" s="10" t="s">
        <v>359</v>
      </c>
      <c r="C19" s="3" t="s">
        <v>245</v>
      </c>
      <c r="D19" s="3" t="s">
        <v>27</v>
      </c>
    </row>
    <row r="20" spans="2:23" ht="15.75" customHeight="1" x14ac:dyDescent="0.25">
      <c r="D20" s="3" t="s">
        <v>28</v>
      </c>
    </row>
    <row r="21" spans="2:23" ht="15.75" customHeight="1" x14ac:dyDescent="0.25">
      <c r="D21" s="3" t="s">
        <v>29</v>
      </c>
    </row>
    <row r="22" spans="2:23" ht="9.75" customHeight="1" x14ac:dyDescent="0.25"/>
    <row r="23" spans="2:23" ht="15.75" customHeight="1" x14ac:dyDescent="0.25">
      <c r="B23" s="10" t="s">
        <v>382</v>
      </c>
      <c r="C23" s="3" t="s">
        <v>249</v>
      </c>
      <c r="D23" s="3" t="s">
        <v>383</v>
      </c>
    </row>
    <row r="24" spans="2:23" ht="9.75" customHeight="1" x14ac:dyDescent="0.25">
      <c r="B24" s="10"/>
    </row>
    <row r="25" spans="2:23" ht="15.75" customHeight="1" x14ac:dyDescent="0.25">
      <c r="B25" s="10" t="s">
        <v>387</v>
      </c>
      <c r="C25" s="3" t="s">
        <v>248</v>
      </c>
      <c r="D25" s="3" t="s">
        <v>384</v>
      </c>
    </row>
    <row r="26" spans="2:23" ht="9.75" customHeight="1" x14ac:dyDescent="0.25">
      <c r="B26" s="10"/>
    </row>
    <row r="27" spans="2:23" ht="15.75" customHeight="1" x14ac:dyDescent="0.25">
      <c r="B27" s="10" t="s">
        <v>385</v>
      </c>
      <c r="C27" s="3" t="s">
        <v>247</v>
      </c>
      <c r="D27" s="3" t="s">
        <v>587</v>
      </c>
    </row>
    <row r="28" spans="2:23" ht="15.75" customHeight="1" x14ac:dyDescent="0.25">
      <c r="D28" s="3" t="s">
        <v>586</v>
      </c>
    </row>
    <row r="29" spans="2:23" ht="9.75" customHeight="1" x14ac:dyDescent="0.25"/>
    <row r="30" spans="2:23" ht="15.75" customHeight="1" x14ac:dyDescent="0.25">
      <c r="B30" s="10" t="s">
        <v>386</v>
      </c>
      <c r="C30" s="3" t="s">
        <v>246</v>
      </c>
      <c r="D30" s="3" t="s">
        <v>589</v>
      </c>
    </row>
    <row r="31" spans="2:23" ht="15.75" customHeight="1" x14ac:dyDescent="0.25">
      <c r="D31" s="3" t="s">
        <v>588</v>
      </c>
    </row>
    <row r="32" spans="2:23" ht="9.75" customHeight="1" x14ac:dyDescent="0.25"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</sheetData>
  <customSheetViews>
    <customSheetView guid="{C95BCE97-951E-4C98-84AE-A423A99BB34B}" showPageBreaks="1" fitToPage="1" printArea="1" topLeftCell="A10">
      <selection activeCell="J19" sqref="J19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10">
      <selection activeCell="J19" sqref="J19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 topLeftCell="A10">
      <selection activeCell="J19" sqref="J19"/>
      <pageMargins left="1" right="0.5" top="0.85" bottom="0.8" header="0.5" footer="0.35"/>
      <printOptions horizontalCentered="1"/>
      <pageSetup scale="93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phoneticPr fontId="11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7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6" width="9.140625" style="3"/>
    <col min="7" max="7" width="7" style="3" customWidth="1"/>
    <col min="8" max="8" width="6.85546875" style="3" customWidth="1"/>
    <col min="9" max="9" width="8.85546875" style="3" customWidth="1"/>
    <col min="10" max="10" width="12.28515625" style="3" customWidth="1"/>
    <col min="11" max="11" width="9" style="3" customWidth="1"/>
    <col min="12" max="12" width="12.85546875" style="3" customWidth="1"/>
    <col min="13" max="13" width="9.140625" style="3"/>
    <col min="14" max="14" width="8.7109375" style="297" hidden="1" customWidth="1"/>
    <col min="15" max="15" width="2.7109375" style="297" hidden="1" customWidth="1"/>
    <col min="16" max="16" width="8.7109375" style="297" hidden="1" customWidth="1"/>
    <col min="17" max="17" width="2.7109375" style="297" hidden="1" customWidth="1"/>
    <col min="18" max="18" width="8.7109375" style="297" hidden="1" customWidth="1"/>
    <col min="19" max="19" width="2.7109375" style="297" hidden="1" customWidth="1"/>
    <col min="20" max="20" width="8.7109375" style="297" hidden="1" customWidth="1"/>
    <col min="21" max="21" width="2.7109375" style="3" customWidth="1"/>
    <col min="22" max="16384" width="9.140625" style="3"/>
  </cols>
  <sheetData>
    <row r="1" spans="2:20" ht="30" customHeight="1" x14ac:dyDescent="0.25"/>
    <row r="2" spans="2:20" ht="15.75" customHeight="1" x14ac:dyDescent="0.25">
      <c r="B2" s="54" t="s">
        <v>408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0" ht="15.75" customHeight="1" x14ac:dyDescent="0.25">
      <c r="B3" s="93" t="s">
        <v>354</v>
      </c>
      <c r="C3" s="62" t="s">
        <v>30</v>
      </c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20" ht="15.75" customHeight="1" x14ac:dyDescent="0.25">
      <c r="B4" s="54"/>
      <c r="C4" s="62" t="s">
        <v>31</v>
      </c>
      <c r="D4" s="54"/>
      <c r="E4" s="54"/>
      <c r="F4" s="54"/>
      <c r="G4" s="54"/>
      <c r="H4" s="54"/>
      <c r="I4" s="54"/>
      <c r="J4" s="54"/>
      <c r="K4" s="54"/>
      <c r="L4" s="54"/>
      <c r="M4" s="276"/>
      <c r="N4" s="276"/>
      <c r="O4" s="276"/>
      <c r="P4" s="276"/>
      <c r="Q4" s="276"/>
      <c r="R4" s="322"/>
    </row>
    <row r="5" spans="2:20" ht="5.0999999999999996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276"/>
      <c r="N5" s="276"/>
      <c r="O5" s="276"/>
      <c r="P5" s="276"/>
      <c r="Q5" s="276"/>
      <c r="R5" s="322"/>
    </row>
    <row r="6" spans="2:20" ht="15.75" customHeight="1" x14ac:dyDescent="0.25">
      <c r="C6" s="62" t="s">
        <v>596</v>
      </c>
    </row>
    <row r="7" spans="2:20" ht="15.75" customHeight="1" x14ac:dyDescent="0.25">
      <c r="C7" s="62" t="s">
        <v>595</v>
      </c>
    </row>
    <row r="8" spans="2:20" ht="5.0999999999999996" customHeight="1" x14ac:dyDescent="0.25">
      <c r="C8" s="62"/>
    </row>
    <row r="9" spans="2:20" ht="15.75" customHeight="1" x14ac:dyDescent="0.25">
      <c r="C9" s="158" t="str">
        <f>CONCATENATE(S9,TEXT(N9,"$#,##0"),O9,TEXT(P9,"$#,##0"),Q9,TEXT(R9,"$#,##0"),)</f>
        <v xml:space="preserve"> = $20,000 + $40,000 – $10,000</v>
      </c>
      <c r="N9" s="301">
        <v>20000</v>
      </c>
      <c r="O9" s="301" t="s">
        <v>467</v>
      </c>
      <c r="P9" s="301">
        <v>40000</v>
      </c>
      <c r="Q9" s="301" t="s">
        <v>470</v>
      </c>
      <c r="R9" s="301">
        <v>10000</v>
      </c>
      <c r="S9" s="301" t="s">
        <v>468</v>
      </c>
      <c r="T9" s="301">
        <f>SUM(N9+P9-R9)</f>
        <v>50000</v>
      </c>
    </row>
    <row r="10" spans="2:20" ht="15.75" customHeight="1" x14ac:dyDescent="0.25">
      <c r="C10" s="158" t="str">
        <f>CONCATENATE(S9,TEXT(T9,"$#,##0"),)</f>
        <v xml:space="preserve"> = $50,000</v>
      </c>
    </row>
    <row r="11" spans="2:20" ht="9.75" customHeight="1" x14ac:dyDescent="0.25"/>
    <row r="12" spans="2:20" ht="15.75" customHeight="1" x14ac:dyDescent="0.25">
      <c r="C12" s="62" t="s">
        <v>409</v>
      </c>
    </row>
    <row r="13" spans="2:20" ht="5.0999999999999996" customHeight="1" x14ac:dyDescent="0.25"/>
    <row r="14" spans="2:20" ht="15.75" customHeight="1" x14ac:dyDescent="0.25">
      <c r="C14" s="62" t="s">
        <v>592</v>
      </c>
    </row>
    <row r="15" spans="2:20" ht="15.75" customHeight="1" x14ac:dyDescent="0.25">
      <c r="C15" s="69" t="s">
        <v>593</v>
      </c>
    </row>
    <row r="16" spans="2:20" ht="15.75" customHeight="1" x14ac:dyDescent="0.25">
      <c r="C16" s="62" t="s">
        <v>594</v>
      </c>
    </row>
    <row r="17" spans="2:20" ht="5.0999999999999996" customHeight="1" x14ac:dyDescent="0.25">
      <c r="C17" s="62"/>
    </row>
    <row r="18" spans="2:20" ht="15.75" customHeight="1" x14ac:dyDescent="0.25">
      <c r="C18" s="158" t="str">
        <f>CONCATENATE(Q19,TEXT(N18,"$#,##0"),O18,TEXT(P18,"$#,##0"),Q18,TEXT(R18,"$#,##0"),S18,TEXT(T18,"$#,##0"),O19,TEXT(P19,"$#,##0"),)</f>
        <v xml:space="preserve"> = $50,000 + $800,000 + $100,000 + $60,000 – $100,000</v>
      </c>
      <c r="N18" s="301">
        <f>T9</f>
        <v>50000</v>
      </c>
      <c r="O18" s="301" t="s">
        <v>467</v>
      </c>
      <c r="P18" s="301">
        <v>800000</v>
      </c>
      <c r="Q18" s="301" t="s">
        <v>467</v>
      </c>
      <c r="R18" s="301">
        <v>100000</v>
      </c>
      <c r="S18" s="301" t="s">
        <v>467</v>
      </c>
      <c r="T18" s="301">
        <v>60000</v>
      </c>
    </row>
    <row r="19" spans="2:20" ht="15.75" customHeight="1" x14ac:dyDescent="0.25">
      <c r="C19" s="158" t="str">
        <f>CONCATENATE(Q19,TEXT(R19,"$#,##0"),)</f>
        <v xml:space="preserve"> = $910,000</v>
      </c>
      <c r="O19" s="301" t="s">
        <v>470</v>
      </c>
      <c r="P19" s="301">
        <v>100000</v>
      </c>
      <c r="Q19" s="301" t="s">
        <v>468</v>
      </c>
      <c r="R19" s="301">
        <f>SUM(N18+P18+R18+T18-P19)</f>
        <v>910000</v>
      </c>
    </row>
    <row r="20" spans="2:20" ht="9.75" customHeight="1" x14ac:dyDescent="0.25"/>
    <row r="21" spans="2:20" ht="15.75" customHeight="1" x14ac:dyDescent="0.25">
      <c r="B21" s="10" t="s">
        <v>355</v>
      </c>
      <c r="C21" s="62" t="s">
        <v>590</v>
      </c>
    </row>
    <row r="22" spans="2:20" ht="15.75" customHeight="1" x14ac:dyDescent="0.25">
      <c r="C22" s="62" t="s">
        <v>591</v>
      </c>
    </row>
    <row r="23" spans="2:20" ht="5.0999999999999996" customHeight="1" x14ac:dyDescent="0.25">
      <c r="C23" s="62"/>
    </row>
    <row r="24" spans="2:20" ht="15.75" customHeight="1" x14ac:dyDescent="0.25">
      <c r="C24" s="158" t="str">
        <f>CONCATENATE(S24,TEXT(N24,"$#,##0"),O24,TEXT(P24,"$#,##0"),Q24,TEXT(R24,"$#,##0"),)</f>
        <v xml:space="preserve"> = $300,000 + $910,000 – $280,000</v>
      </c>
      <c r="N24" s="301">
        <v>300000</v>
      </c>
      <c r="O24" s="301" t="s">
        <v>467</v>
      </c>
      <c r="P24" s="301">
        <f>R19</f>
        <v>910000</v>
      </c>
      <c r="Q24" s="301" t="s">
        <v>470</v>
      </c>
      <c r="R24" s="301">
        <v>280000</v>
      </c>
      <c r="S24" s="301" t="s">
        <v>468</v>
      </c>
      <c r="T24" s="301">
        <f>SUM(N24+P24-R24)</f>
        <v>930000</v>
      </c>
    </row>
    <row r="25" spans="2:20" ht="15.75" customHeight="1" x14ac:dyDescent="0.25">
      <c r="C25" s="158" t="str">
        <f>CONCATENATE(S24,TEXT(T24,"$#,##0"),)</f>
        <v xml:space="preserve"> = $930,000</v>
      </c>
    </row>
    <row r="26" spans="2:20" ht="9.75" customHeight="1" x14ac:dyDescent="0.25"/>
    <row r="27" spans="2:20" ht="15.75" customHeight="1" x14ac:dyDescent="0.25"/>
    <row r="28" spans="2:20" ht="15.75" customHeight="1" x14ac:dyDescent="0.25"/>
    <row r="29" spans="2:20" ht="15.75" customHeight="1" x14ac:dyDescent="0.25"/>
    <row r="30" spans="2:20" ht="15.75" customHeight="1" x14ac:dyDescent="0.25"/>
    <row r="31" spans="2:20" ht="15.75" customHeight="1" x14ac:dyDescent="0.25"/>
    <row r="32" spans="2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</sheetData>
  <customSheetViews>
    <customSheetView guid="{C95BCE97-951E-4C98-84AE-A423A99BB34B}" showPageBreaks="1" showGridLines="0" fitToPage="1" printArea="1">
      <selection activeCell="H24" sqref="H24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howGridLines="0" fitToPage="1">
      <selection activeCell="H24" sqref="H24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GridLines="0" fitToPage="1" showRuler="0">
      <selection activeCell="H24" sqref="H24"/>
      <pageMargins left="0.5" right="1" top="0.85" bottom="0.8" header="0.5" footer="0.35"/>
      <printOptions horizontalCentered="1"/>
      <pageSetup scale="93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2">
    <mergeCell ref="R4:R5"/>
    <mergeCell ref="M4:Q5"/>
  </mergeCells>
  <phoneticPr fontId="11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3"/>
  <sheetViews>
    <sheetView showGridLines="0" zoomScale="70" zoomScaleNormal="70" workbookViewId="0"/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9.140625" style="3"/>
    <col min="5" max="5" width="9.7109375" style="3" customWidth="1"/>
    <col min="6" max="6" width="10.42578125" style="3" customWidth="1"/>
    <col min="7" max="7" width="10.85546875" style="3" customWidth="1"/>
    <col min="8" max="8" width="11.42578125" style="3" customWidth="1"/>
    <col min="9" max="9" width="2.7109375" style="3" customWidth="1"/>
    <col min="10" max="10" width="10.28515625" style="3" customWidth="1"/>
    <col min="11" max="12" width="1.7109375" style="3" customWidth="1"/>
    <col min="13" max="13" width="14" style="3" customWidth="1"/>
    <col min="14" max="14" width="1.7109375" style="3" customWidth="1"/>
    <col min="15" max="16" width="9.140625" style="3"/>
    <col min="17" max="17" width="10.5703125" style="297" hidden="1" customWidth="1"/>
    <col min="18" max="18" width="2.7109375" style="297" hidden="1" customWidth="1"/>
    <col min="19" max="19" width="8.7109375" style="297" hidden="1" customWidth="1"/>
    <col min="20" max="20" width="2.7109375" style="297" hidden="1" customWidth="1"/>
    <col min="21" max="21" width="10.42578125" style="297" hidden="1" customWidth="1"/>
    <col min="22" max="22" width="2.7109375" style="297" hidden="1" customWidth="1"/>
    <col min="23" max="23" width="0" style="297" hidden="1" customWidth="1"/>
    <col min="24" max="24" width="2.7109375" style="3" customWidth="1"/>
    <col min="25" max="16384" width="9.140625" style="3"/>
  </cols>
  <sheetData>
    <row r="1" spans="2:22" ht="30" customHeight="1" x14ac:dyDescent="0.25"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22" ht="15.75" customHeight="1" x14ac:dyDescent="0.25">
      <c r="B2" s="159" t="s">
        <v>410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22" ht="5.0999999999999996" customHeight="1" thickBot="1" x14ac:dyDescent="0.3">
      <c r="B3" s="159"/>
      <c r="C3" s="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22" ht="15.75" customHeight="1" x14ac:dyDescent="0.25">
      <c r="B4" s="93" t="s">
        <v>356</v>
      </c>
      <c r="C4" s="254" t="s">
        <v>411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2:22" ht="15.75" customHeight="1" x14ac:dyDescent="0.25">
      <c r="B5" s="54"/>
      <c r="C5" s="254" t="s">
        <v>349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</row>
    <row r="6" spans="2:22" ht="15.75" customHeight="1" thickBot="1" x14ac:dyDescent="0.3">
      <c r="B6" s="54"/>
      <c r="C6" s="250" t="s">
        <v>209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P6" s="220"/>
      <c r="Q6" s="318"/>
      <c r="R6" s="318"/>
      <c r="S6" s="318"/>
      <c r="T6" s="318"/>
      <c r="U6" s="318"/>
      <c r="V6" s="318"/>
    </row>
    <row r="7" spans="2:22" ht="5.0999999999999996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P7" s="220"/>
      <c r="Q7" s="318"/>
      <c r="R7" s="318"/>
      <c r="S7" s="318"/>
      <c r="T7" s="318"/>
      <c r="U7" s="318"/>
      <c r="V7" s="318"/>
    </row>
    <row r="8" spans="2:22" ht="15.75" customHeight="1" x14ac:dyDescent="0.25">
      <c r="B8" s="54"/>
      <c r="C8" s="54" t="str">
        <f>CONCATENATE("Sales (",TEXT(Q8,"#,##0"),R8,TEXT(S8,"#,##0"),")……………………………………………………………….………")</f>
        <v>Sales (2,100 × 700)……………………………………………………………….………</v>
      </c>
      <c r="D8" s="54"/>
      <c r="E8" s="54"/>
      <c r="F8" s="54"/>
      <c r="G8" s="54"/>
      <c r="H8" s="54"/>
      <c r="I8" s="54"/>
      <c r="J8" s="54"/>
      <c r="K8" s="173"/>
      <c r="L8" s="173" t="s">
        <v>380</v>
      </c>
      <c r="M8" s="201">
        <f>U8</f>
        <v>1470000</v>
      </c>
      <c r="N8" s="148"/>
      <c r="P8" s="220"/>
      <c r="Q8" s="308">
        <v>2100</v>
      </c>
      <c r="R8" s="308" t="s">
        <v>469</v>
      </c>
      <c r="S8" s="308">
        <v>700</v>
      </c>
      <c r="T8" s="308" t="s">
        <v>468</v>
      </c>
      <c r="U8" s="308">
        <f>SUM(Q8*S8)</f>
        <v>1470000</v>
      </c>
      <c r="V8" s="318"/>
    </row>
    <row r="9" spans="2:22" ht="15.75" customHeight="1" x14ac:dyDescent="0.25">
      <c r="B9" s="54"/>
      <c r="C9" s="54" t="s">
        <v>412</v>
      </c>
      <c r="D9" s="54"/>
      <c r="E9" s="54"/>
      <c r="F9" s="54"/>
      <c r="G9" s="54"/>
      <c r="H9" s="54"/>
      <c r="I9" s="54"/>
      <c r="J9" s="54"/>
      <c r="K9" s="173"/>
      <c r="L9" s="173" t="s">
        <v>380</v>
      </c>
      <c r="M9" s="161">
        <f>Q9</f>
        <v>930000</v>
      </c>
      <c r="N9" s="96"/>
      <c r="P9" s="220"/>
      <c r="Q9" s="308">
        <f>'2-23'!T24</f>
        <v>930000</v>
      </c>
      <c r="R9" s="318"/>
      <c r="S9" s="318"/>
      <c r="T9" s="318"/>
      <c r="U9" s="318"/>
      <c r="V9" s="318"/>
    </row>
    <row r="10" spans="2:22" ht="15.75" customHeight="1" x14ac:dyDescent="0.25">
      <c r="B10" s="54"/>
      <c r="C10" s="139" t="s">
        <v>413</v>
      </c>
      <c r="E10" s="54"/>
      <c r="F10" s="54"/>
      <c r="G10" s="54"/>
      <c r="H10" s="54"/>
      <c r="I10" s="54"/>
      <c r="J10" s="54"/>
      <c r="K10" s="173"/>
      <c r="L10" s="173" t="s">
        <v>380</v>
      </c>
      <c r="M10" s="162">
        <f>SUM(M8-M9)</f>
        <v>540000</v>
      </c>
      <c r="N10" s="60"/>
      <c r="P10" s="220"/>
      <c r="Q10" s="318"/>
      <c r="R10" s="318"/>
      <c r="S10" s="318"/>
      <c r="T10" s="318"/>
      <c r="U10" s="318"/>
      <c r="V10" s="318"/>
    </row>
    <row r="11" spans="2:22" ht="15.75" customHeight="1" x14ac:dyDescent="0.25">
      <c r="B11" s="54"/>
      <c r="C11" s="54" t="s">
        <v>350</v>
      </c>
      <c r="D11" s="54"/>
      <c r="E11" s="54"/>
      <c r="F11" s="54"/>
      <c r="G11" s="54"/>
      <c r="H11" s="54"/>
      <c r="I11" s="54"/>
      <c r="J11" s="54"/>
      <c r="K11" s="159"/>
      <c r="L11" s="159"/>
      <c r="M11" s="163"/>
      <c r="N11" s="60"/>
      <c r="P11" s="220"/>
      <c r="Q11" s="318"/>
      <c r="R11" s="318"/>
      <c r="S11" s="318"/>
      <c r="T11" s="318"/>
      <c r="U11" s="318"/>
      <c r="V11" s="318"/>
    </row>
    <row r="12" spans="2:22" ht="15.75" customHeight="1" x14ac:dyDescent="0.25">
      <c r="B12" s="54"/>
      <c r="C12" s="139" t="s">
        <v>135</v>
      </c>
      <c r="D12" s="54"/>
      <c r="E12" s="54"/>
      <c r="F12" s="54"/>
      <c r="G12" s="54"/>
      <c r="H12" s="54"/>
      <c r="I12" s="54"/>
      <c r="J12" s="54"/>
      <c r="K12" s="173"/>
      <c r="L12" s="173" t="s">
        <v>380</v>
      </c>
      <c r="M12" s="164">
        <f>Q12</f>
        <v>60000</v>
      </c>
      <c r="N12" s="160"/>
      <c r="P12" s="220"/>
      <c r="Q12" s="308">
        <v>60000</v>
      </c>
      <c r="R12" s="318"/>
      <c r="S12" s="318"/>
      <c r="T12" s="318"/>
      <c r="U12" s="318"/>
      <c r="V12" s="318"/>
    </row>
    <row r="13" spans="2:22" ht="15.75" customHeight="1" x14ac:dyDescent="0.25">
      <c r="B13" s="54"/>
      <c r="C13" s="171" t="s">
        <v>414</v>
      </c>
      <c r="D13" s="159"/>
      <c r="E13" s="159"/>
      <c r="F13" s="159"/>
      <c r="G13" s="159"/>
      <c r="H13" s="159"/>
      <c r="I13" s="159"/>
      <c r="J13" s="159"/>
      <c r="K13" s="173"/>
      <c r="L13" s="173" t="s">
        <v>380</v>
      </c>
      <c r="M13" s="161">
        <f>Q13</f>
        <v>150000</v>
      </c>
      <c r="N13" s="159"/>
      <c r="P13" s="220"/>
      <c r="Q13" s="308">
        <v>150000</v>
      </c>
      <c r="R13" s="318"/>
      <c r="S13" s="318"/>
      <c r="T13" s="318"/>
      <c r="U13" s="318"/>
      <c r="V13" s="318"/>
    </row>
    <row r="14" spans="2:22" ht="15.75" customHeight="1" thickBot="1" x14ac:dyDescent="0.3">
      <c r="B14" s="54"/>
      <c r="C14" s="172" t="s">
        <v>415</v>
      </c>
      <c r="E14" s="159"/>
      <c r="F14" s="159"/>
      <c r="G14" s="159"/>
      <c r="H14" s="159"/>
      <c r="I14" s="159"/>
      <c r="J14" s="159"/>
      <c r="K14" s="173"/>
      <c r="L14" s="173" t="s">
        <v>380</v>
      </c>
      <c r="M14" s="75">
        <f>SUM(M10-(M12+M13))</f>
        <v>330000</v>
      </c>
      <c r="N14" s="159"/>
      <c r="P14" s="220"/>
      <c r="Q14" s="318"/>
      <c r="R14" s="318"/>
      <c r="S14" s="318"/>
      <c r="T14" s="318"/>
      <c r="U14" s="318"/>
      <c r="V14" s="318"/>
    </row>
    <row r="15" spans="2:22" ht="9.75" customHeight="1" thickTop="1" thickBot="1" x14ac:dyDescent="0.3">
      <c r="B15" s="54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P15" s="220"/>
      <c r="Q15" s="318"/>
      <c r="R15" s="318"/>
      <c r="S15" s="318"/>
      <c r="T15" s="318"/>
      <c r="U15" s="318"/>
      <c r="V15" s="318"/>
    </row>
    <row r="16" spans="2:22" ht="9.7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P16" s="220"/>
      <c r="Q16" s="318"/>
      <c r="R16" s="318"/>
      <c r="S16" s="318"/>
      <c r="T16" s="318"/>
      <c r="U16" s="318"/>
      <c r="V16" s="318"/>
    </row>
    <row r="17" spans="2:22" ht="15.75" customHeight="1" x14ac:dyDescent="0.25">
      <c r="B17" s="93" t="s">
        <v>357</v>
      </c>
      <c r="C17" s="62" t="str">
        <f>CONCATENATE("The dominant cost is direct labor cost of ",TEXT(Q17,"$#,##0"),". Direct labor is the dominant")</f>
        <v>The dominant cost is direct labor cost of $800,000. Direct labor is the dominant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P17" s="220"/>
      <c r="Q17" s="308">
        <f>'2-23'!P18</f>
        <v>800000</v>
      </c>
      <c r="R17" s="318"/>
      <c r="S17" s="318"/>
      <c r="T17" s="318"/>
      <c r="U17" s="318"/>
      <c r="V17" s="318"/>
    </row>
    <row r="18" spans="2:22" ht="15.75" customHeight="1" x14ac:dyDescent="0.25">
      <c r="B18" s="54"/>
      <c r="C18" s="62" t="s">
        <v>597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P18" s="220"/>
      <c r="Q18" s="318"/>
      <c r="R18" s="318"/>
      <c r="S18" s="318"/>
      <c r="T18" s="318"/>
      <c r="U18" s="318"/>
      <c r="V18" s="318"/>
    </row>
    <row r="19" spans="2:22" ht="15.75" customHeight="1" x14ac:dyDescent="0.25">
      <c r="B19" s="54"/>
      <c r="C19" s="62" t="s">
        <v>599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2:22" ht="15.75" customHeight="1" x14ac:dyDescent="0.25">
      <c r="B20" s="54"/>
      <c r="C20" s="62" t="s">
        <v>598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2:22" ht="15.75" customHeight="1" x14ac:dyDescent="0.25">
      <c r="O21" s="6"/>
      <c r="P21" s="6"/>
    </row>
    <row r="22" spans="2:22" ht="15.75" customHeight="1" x14ac:dyDescent="0.25">
      <c r="B22" s="159" t="s">
        <v>416</v>
      </c>
      <c r="C22" s="6"/>
      <c r="D22" s="15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41"/>
      <c r="Q22" s="298"/>
      <c r="R22" s="298"/>
      <c r="S22" s="298"/>
      <c r="T22" s="298"/>
      <c r="U22" s="298"/>
    </row>
    <row r="23" spans="2:22" ht="5.0999999999999996" customHeight="1" thickBot="1" x14ac:dyDescent="0.3">
      <c r="B23" s="159"/>
      <c r="C23" s="7"/>
      <c r="D23" s="9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41"/>
      <c r="Q23" s="298"/>
      <c r="R23" s="298"/>
      <c r="S23" s="298"/>
      <c r="T23" s="298"/>
      <c r="U23" s="298"/>
    </row>
    <row r="24" spans="2:22" ht="15.75" customHeight="1" x14ac:dyDescent="0.25">
      <c r="B24" s="10" t="s">
        <v>354</v>
      </c>
      <c r="C24" s="254" t="s">
        <v>381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6"/>
      <c r="P24" s="6"/>
      <c r="Q24" s="299" t="s">
        <v>773</v>
      </c>
      <c r="R24" s="299"/>
      <c r="S24" s="306">
        <v>320000</v>
      </c>
    </row>
    <row r="25" spans="2:22" ht="15.75" customHeight="1" x14ac:dyDescent="0.25">
      <c r="C25" s="254" t="s">
        <v>393</v>
      </c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6"/>
      <c r="P25" s="6"/>
      <c r="Q25" s="299" t="s">
        <v>804</v>
      </c>
      <c r="R25" s="299"/>
      <c r="S25" s="306">
        <v>46800</v>
      </c>
    </row>
    <row r="26" spans="2:22" ht="15.75" customHeight="1" thickBot="1" x14ac:dyDescent="0.3">
      <c r="C26" s="250" t="s">
        <v>209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6"/>
      <c r="P26" s="6"/>
      <c r="Q26" s="299" t="s">
        <v>806</v>
      </c>
      <c r="R26" s="299"/>
      <c r="S26" s="306">
        <v>-66800</v>
      </c>
    </row>
    <row r="27" spans="2:22" ht="5.0999999999999996" customHeight="1" x14ac:dyDescent="0.25">
      <c r="O27" s="6"/>
      <c r="P27" s="6"/>
      <c r="S27" s="353"/>
      <c r="U27" s="351"/>
    </row>
    <row r="28" spans="2:22" ht="15.75" customHeight="1" x14ac:dyDescent="0.25">
      <c r="C28" s="3" t="s">
        <v>425</v>
      </c>
      <c r="H28" s="6"/>
      <c r="I28" s="6" t="s">
        <v>380</v>
      </c>
      <c r="J28" s="283"/>
      <c r="K28" s="284"/>
      <c r="M28" s="5">
        <f>W42</f>
        <v>300000</v>
      </c>
      <c r="N28" s="11"/>
      <c r="O28" s="6"/>
      <c r="P28" s="6"/>
      <c r="Q28" s="299" t="s">
        <v>733</v>
      </c>
      <c r="R28" s="299"/>
      <c r="S28" s="306">
        <v>200000</v>
      </c>
    </row>
    <row r="29" spans="2:22" ht="15.75" customHeight="1" x14ac:dyDescent="0.25">
      <c r="C29" s="3" t="s">
        <v>426</v>
      </c>
      <c r="H29" s="6"/>
      <c r="I29" s="6" t="s">
        <v>380</v>
      </c>
      <c r="J29" s="284"/>
      <c r="K29" s="284"/>
      <c r="M29" s="13">
        <f>S28</f>
        <v>200000</v>
      </c>
      <c r="O29" s="6"/>
      <c r="P29" s="6"/>
      <c r="Q29" s="299" t="s">
        <v>810</v>
      </c>
      <c r="R29" s="299"/>
      <c r="S29" s="306">
        <v>40000</v>
      </c>
    </row>
    <row r="30" spans="2:22" ht="5.0999999999999996" customHeight="1" x14ac:dyDescent="0.25">
      <c r="H30" s="6"/>
      <c r="I30" s="6"/>
      <c r="J30" s="147"/>
      <c r="K30" s="147"/>
      <c r="M30" s="13"/>
      <c r="O30" s="6"/>
      <c r="P30" s="6"/>
      <c r="S30" s="353"/>
    </row>
    <row r="31" spans="2:22" ht="15.75" customHeight="1" x14ac:dyDescent="0.25">
      <c r="C31" s="3" t="s">
        <v>395</v>
      </c>
      <c r="H31" s="6"/>
      <c r="I31" s="6"/>
      <c r="J31" s="6"/>
      <c r="O31" s="6"/>
      <c r="P31" s="6"/>
      <c r="Q31" s="299" t="s">
        <v>811</v>
      </c>
      <c r="R31" s="299"/>
      <c r="S31" s="306">
        <v>42000</v>
      </c>
    </row>
    <row r="32" spans="2:22" ht="15.75" customHeight="1" x14ac:dyDescent="0.25">
      <c r="C32" s="104" t="s">
        <v>427</v>
      </c>
      <c r="H32" s="6"/>
      <c r="I32" s="6" t="s">
        <v>380</v>
      </c>
      <c r="J32" s="234">
        <f>S29</f>
        <v>40000</v>
      </c>
      <c r="O32" s="6"/>
      <c r="P32" s="6"/>
      <c r="Q32" s="299" t="s">
        <v>812</v>
      </c>
      <c r="R32" s="299"/>
      <c r="S32" s="306">
        <v>60000</v>
      </c>
    </row>
    <row r="33" spans="2:27" ht="15.75" customHeight="1" x14ac:dyDescent="0.25">
      <c r="C33" s="104" t="s">
        <v>428</v>
      </c>
      <c r="H33" s="6"/>
      <c r="I33" s="6" t="s">
        <v>380</v>
      </c>
      <c r="J33" s="20">
        <f>S31</f>
        <v>42000</v>
      </c>
      <c r="O33" s="6"/>
      <c r="P33" s="6"/>
      <c r="Q33" s="299" t="s">
        <v>813</v>
      </c>
      <c r="R33" s="299"/>
      <c r="S33" s="306">
        <v>11900</v>
      </c>
    </row>
    <row r="34" spans="2:27" ht="15.75" customHeight="1" x14ac:dyDescent="0.25">
      <c r="C34" s="104" t="s">
        <v>429</v>
      </c>
      <c r="H34" s="6"/>
      <c r="I34" s="6" t="s">
        <v>380</v>
      </c>
      <c r="J34" s="20">
        <f>S32</f>
        <v>60000</v>
      </c>
      <c r="O34" s="6"/>
      <c r="P34" s="6"/>
      <c r="Q34" s="299" t="s">
        <v>814</v>
      </c>
      <c r="R34" s="299"/>
      <c r="S34" s="306">
        <v>90000</v>
      </c>
    </row>
    <row r="35" spans="2:27" ht="15.75" customHeight="1" x14ac:dyDescent="0.25">
      <c r="C35" s="104" t="s">
        <v>430</v>
      </c>
      <c r="H35" s="6"/>
      <c r="I35" s="6" t="s">
        <v>380</v>
      </c>
      <c r="J35" s="15">
        <f>S33</f>
        <v>11900</v>
      </c>
      <c r="M35" s="15">
        <f>SUM(J32:J35)</f>
        <v>153900</v>
      </c>
      <c r="O35" s="6"/>
      <c r="P35" s="6"/>
      <c r="Q35" s="299" t="s">
        <v>334</v>
      </c>
      <c r="R35" s="299"/>
      <c r="S35" s="306">
        <v>180000</v>
      </c>
    </row>
    <row r="36" spans="2:27" ht="15.75" customHeight="1" x14ac:dyDescent="0.25">
      <c r="C36" s="3" t="s">
        <v>431</v>
      </c>
      <c r="H36" s="6"/>
      <c r="I36" s="6" t="s">
        <v>380</v>
      </c>
      <c r="J36" s="283"/>
      <c r="K36" s="284"/>
      <c r="M36" s="5">
        <f>SUM(M28:M35)</f>
        <v>653900</v>
      </c>
      <c r="O36" s="6"/>
      <c r="P36" s="6"/>
      <c r="Q36" s="299" t="s">
        <v>815</v>
      </c>
      <c r="R36" s="299"/>
      <c r="S36" s="306">
        <v>300000</v>
      </c>
    </row>
    <row r="37" spans="2:27" ht="15.75" customHeight="1" x14ac:dyDescent="0.25">
      <c r="C37" s="3" t="s">
        <v>432</v>
      </c>
      <c r="H37" s="6"/>
      <c r="I37" s="6" t="s">
        <v>380</v>
      </c>
      <c r="J37" s="284"/>
      <c r="K37" s="284"/>
      <c r="M37" s="13">
        <f>S37</f>
        <v>13040</v>
      </c>
      <c r="O37" s="6"/>
      <c r="P37" s="6"/>
      <c r="Q37" s="299" t="s">
        <v>797</v>
      </c>
      <c r="R37" s="299"/>
      <c r="S37" s="306">
        <v>13040</v>
      </c>
    </row>
    <row r="38" spans="2:27" ht="15.75" customHeight="1" x14ac:dyDescent="0.25">
      <c r="C38" s="3" t="s">
        <v>433</v>
      </c>
      <c r="H38" s="6"/>
      <c r="I38" s="6" t="s">
        <v>380</v>
      </c>
      <c r="J38" s="284"/>
      <c r="K38" s="284"/>
      <c r="M38" s="46">
        <f>S38</f>
        <v>-14940</v>
      </c>
      <c r="O38" s="6"/>
      <c r="P38" s="6"/>
      <c r="Q38" s="299" t="s">
        <v>798</v>
      </c>
      <c r="R38" s="299"/>
      <c r="S38" s="306">
        <v>-14940</v>
      </c>
    </row>
    <row r="39" spans="2:27" ht="15.75" customHeight="1" thickBot="1" x14ac:dyDescent="0.3">
      <c r="C39" s="105" t="s">
        <v>434</v>
      </c>
      <c r="E39" s="6"/>
      <c r="F39" s="6"/>
      <c r="G39" s="6"/>
      <c r="H39" s="6"/>
      <c r="I39" s="6" t="s">
        <v>380</v>
      </c>
      <c r="J39" s="284"/>
      <c r="K39" s="284"/>
      <c r="L39" s="6"/>
      <c r="M39" s="14">
        <f>SUM(M36:M38)</f>
        <v>652000</v>
      </c>
      <c r="N39" s="6"/>
      <c r="O39" s="227"/>
      <c r="P39" s="227"/>
      <c r="Q39" s="299" t="s">
        <v>816</v>
      </c>
      <c r="R39" s="299"/>
      <c r="S39" s="306">
        <v>80000</v>
      </c>
      <c r="T39" s="318"/>
      <c r="U39" s="318"/>
      <c r="V39" s="318"/>
      <c r="W39" s="318"/>
      <c r="X39" s="220"/>
      <c r="Y39" s="220"/>
      <c r="Z39" s="220"/>
      <c r="AA39" s="220"/>
    </row>
    <row r="40" spans="2:27" ht="14.45" customHeight="1" thickTop="1" thickBot="1" x14ac:dyDescent="0.3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227"/>
      <c r="P40" s="227"/>
      <c r="Q40" s="299" t="s">
        <v>817</v>
      </c>
      <c r="R40" s="299"/>
      <c r="S40" s="306">
        <v>-114100</v>
      </c>
      <c r="T40" s="318"/>
      <c r="U40" s="352"/>
      <c r="V40" s="318"/>
      <c r="W40" s="318"/>
      <c r="X40" s="220"/>
      <c r="Y40" s="220"/>
      <c r="Z40" s="220"/>
      <c r="AA40" s="220"/>
    </row>
    <row r="41" spans="2:27" ht="4.9000000000000004" customHeight="1" x14ac:dyDescent="0.25">
      <c r="O41" s="227"/>
      <c r="P41" s="227"/>
      <c r="Q41" s="318"/>
      <c r="R41" s="318"/>
      <c r="S41" s="318"/>
      <c r="T41" s="318"/>
      <c r="U41" s="352"/>
      <c r="V41" s="318"/>
      <c r="W41" s="318"/>
      <c r="X41" s="220"/>
      <c r="Y41" s="220"/>
      <c r="Z41" s="220"/>
      <c r="AA41" s="220"/>
    </row>
    <row r="42" spans="2:27" ht="15.75" customHeight="1" x14ac:dyDescent="0.25">
      <c r="B42" s="32" t="s">
        <v>366</v>
      </c>
      <c r="C42" s="2" t="str">
        <f>CONCATENATE("Direct Materials Used = ",TEXT(Q42,"$#,##0"),R42,TEXT(S42,"$#,##0"),T42,TEXT(U42,"$#,##0"),V42,TEXT(W42,"$#,##0"),)</f>
        <v>Direct Materials Used = $46,800 + $320,000 – $66,800 = $300,000</v>
      </c>
      <c r="O42" s="227"/>
      <c r="P42" s="227"/>
      <c r="Q42" s="308">
        <f>S25</f>
        <v>46800</v>
      </c>
      <c r="R42" s="308" t="s">
        <v>467</v>
      </c>
      <c r="S42" s="308">
        <f>S24</f>
        <v>320000</v>
      </c>
      <c r="T42" s="308" t="s">
        <v>470</v>
      </c>
      <c r="U42" s="308">
        <f>-S26</f>
        <v>66800</v>
      </c>
      <c r="V42" s="308" t="s">
        <v>468</v>
      </c>
      <c r="W42" s="308">
        <f>SUM(Q42+S42-U42)</f>
        <v>300000</v>
      </c>
      <c r="X42" s="220"/>
      <c r="Y42" s="220"/>
      <c r="Z42" s="220"/>
      <c r="AA42" s="220"/>
    </row>
    <row r="43" spans="2:27" ht="9.75" customHeight="1" x14ac:dyDescent="0.25">
      <c r="O43" s="227"/>
      <c r="P43" s="227"/>
      <c r="Q43" s="318"/>
      <c r="R43" s="318"/>
      <c r="S43" s="318"/>
      <c r="T43" s="318"/>
      <c r="U43" s="318"/>
      <c r="V43" s="318"/>
      <c r="W43" s="318"/>
      <c r="X43" s="220"/>
      <c r="Y43" s="220"/>
      <c r="Z43" s="220"/>
      <c r="AA43" s="220"/>
    </row>
    <row r="44" spans="2:27" ht="15.75" customHeight="1" x14ac:dyDescent="0.25">
      <c r="O44" s="227"/>
      <c r="P44" s="227"/>
      <c r="Q44" s="318"/>
      <c r="R44" s="318"/>
      <c r="S44" s="318"/>
      <c r="T44" s="318"/>
      <c r="U44" s="318"/>
      <c r="V44" s="318"/>
      <c r="W44" s="318"/>
      <c r="X44" s="220"/>
      <c r="Y44" s="220"/>
      <c r="Z44" s="220"/>
      <c r="AA44" s="220"/>
    </row>
    <row r="45" spans="2:27" ht="15.75" customHeight="1" x14ac:dyDescent="0.25">
      <c r="O45" s="227"/>
      <c r="P45" s="227"/>
      <c r="Q45" s="318"/>
      <c r="R45" s="318"/>
      <c r="S45" s="318"/>
      <c r="T45" s="318"/>
      <c r="U45" s="318"/>
      <c r="V45" s="318"/>
      <c r="W45" s="318"/>
      <c r="X45" s="220"/>
      <c r="Y45" s="220"/>
      <c r="Z45" s="220"/>
      <c r="AA45" s="220"/>
    </row>
    <row r="46" spans="2:27" ht="15.75" customHeight="1" x14ac:dyDescent="0.25">
      <c r="O46" s="227"/>
      <c r="P46" s="227"/>
      <c r="Q46" s="318"/>
      <c r="R46" s="318"/>
      <c r="S46" s="318"/>
      <c r="T46" s="318"/>
      <c r="U46" s="318"/>
      <c r="V46" s="318"/>
      <c r="W46" s="318"/>
      <c r="X46" s="220"/>
      <c r="Y46" s="220"/>
      <c r="Z46" s="220"/>
      <c r="AA46" s="220"/>
    </row>
    <row r="47" spans="2:27" ht="15.75" customHeight="1" x14ac:dyDescent="0.25">
      <c r="O47" s="6"/>
      <c r="P47" s="6"/>
    </row>
    <row r="48" spans="2:27" ht="15.7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</sheetData>
  <customSheetViews>
    <customSheetView guid="{C95BCE97-951E-4C98-84AE-A423A99BB34B}" showPageBreaks="1" showGridLines="0" fitToPage="1" printArea="1" topLeftCell="A16">
      <selection activeCell="E22" sqref="E22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howGridLines="0" fitToPage="1" topLeftCell="A16">
      <selection activeCell="E22" sqref="E22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GridLines="0" fitToPage="1" showRuler="0" topLeftCell="A16">
      <selection activeCell="E22" sqref="E22"/>
      <pageMargins left="1" right="0.5" top="0.85" bottom="0.8" header="0.5" footer="0.35"/>
      <printOptions horizontalCentered="1"/>
      <pageSetup scale="93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23">
    <mergeCell ref="Q24:R24"/>
    <mergeCell ref="Q39:R39"/>
    <mergeCell ref="Q40:R40"/>
    <mergeCell ref="Q31:R31"/>
    <mergeCell ref="Q32:R32"/>
    <mergeCell ref="Q33:R33"/>
    <mergeCell ref="Q34:R34"/>
    <mergeCell ref="Q35:R35"/>
    <mergeCell ref="Q36:R36"/>
    <mergeCell ref="Q25:R25"/>
    <mergeCell ref="Q26:R26"/>
    <mergeCell ref="Q28:R28"/>
    <mergeCell ref="Q29:R29"/>
    <mergeCell ref="J28:K29"/>
    <mergeCell ref="J36:K39"/>
    <mergeCell ref="Q37:R37"/>
    <mergeCell ref="Q38:R38"/>
    <mergeCell ref="C5:N5"/>
    <mergeCell ref="C4:N4"/>
    <mergeCell ref="C25:N25"/>
    <mergeCell ref="C6:N6"/>
    <mergeCell ref="C26:N26"/>
    <mergeCell ref="C24:N24"/>
  </mergeCells>
  <phoneticPr fontId="11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0"/>
  <sheetViews>
    <sheetView showGridLines="0" zoomScale="85" zoomScaleNormal="85" workbookViewId="0"/>
  </sheetViews>
  <sheetFormatPr defaultRowHeight="15.75" x14ac:dyDescent="0.25"/>
  <cols>
    <col min="1" max="1" width="2.28515625" style="3" customWidth="1"/>
    <col min="2" max="2" width="3.42578125" style="3" customWidth="1"/>
    <col min="3" max="3" width="2.7109375" style="3" customWidth="1"/>
    <col min="4" max="4" width="9.140625" style="3"/>
    <col min="5" max="5" width="6.42578125" style="3" customWidth="1"/>
    <col min="6" max="6" width="9.42578125" style="3" customWidth="1"/>
    <col min="7" max="7" width="14.28515625" style="3" customWidth="1"/>
    <col min="8" max="8" width="12.42578125" style="3" customWidth="1"/>
    <col min="9" max="9" width="3" style="3" customWidth="1"/>
    <col min="10" max="10" width="2.140625" style="3" customWidth="1"/>
    <col min="11" max="11" width="12.140625" style="3" customWidth="1"/>
    <col min="12" max="12" width="1.7109375" style="3" customWidth="1"/>
    <col min="13" max="13" width="14.42578125" style="3" customWidth="1"/>
    <col min="14" max="15" width="9.140625" style="3"/>
    <col min="16" max="16" width="9.7109375" style="318" hidden="1" customWidth="1"/>
    <col min="17" max="17" width="2.7109375" style="318" hidden="1" customWidth="1"/>
    <col min="18" max="18" width="0" style="318" hidden="1" customWidth="1"/>
    <col min="19" max="19" width="2.7109375" style="318" hidden="1" customWidth="1"/>
    <col min="20" max="20" width="10.42578125" style="318" hidden="1" customWidth="1"/>
    <col min="21" max="21" width="2.7109375" style="318" hidden="1" customWidth="1"/>
    <col min="22" max="22" width="0" style="318" hidden="1" customWidth="1"/>
    <col min="23" max="23" width="9.140625" style="220"/>
    <col min="24" max="16384" width="9.140625" style="3"/>
  </cols>
  <sheetData>
    <row r="1" spans="2:20" ht="30" customHeight="1" x14ac:dyDescent="0.25"/>
    <row r="2" spans="2:20" ht="15.75" customHeight="1" x14ac:dyDescent="0.25">
      <c r="B2" s="159" t="s">
        <v>417</v>
      </c>
      <c r="D2" s="54"/>
      <c r="E2" s="54"/>
    </row>
    <row r="3" spans="2:20" ht="15.75" customHeight="1" x14ac:dyDescent="0.25">
      <c r="B3" s="10" t="s">
        <v>355</v>
      </c>
      <c r="C3" s="3" t="s">
        <v>600</v>
      </c>
      <c r="H3" s="165">
        <f>P3</f>
        <v>652000</v>
      </c>
      <c r="I3" s="43" t="str">
        <f>CONCATENATE(S3,TEXT(T3,"$#,##0"),)</f>
        <v xml:space="preserve"> = $163</v>
      </c>
      <c r="J3" s="43"/>
      <c r="P3" s="308">
        <f>'2-24'!M39</f>
        <v>652000</v>
      </c>
      <c r="Q3" s="308" t="s">
        <v>471</v>
      </c>
      <c r="R3" s="308">
        <v>4000</v>
      </c>
      <c r="S3" s="308" t="s">
        <v>468</v>
      </c>
      <c r="T3" s="308">
        <f>SUM(P3/R3)</f>
        <v>163</v>
      </c>
    </row>
    <row r="4" spans="2:20" ht="15.75" customHeight="1" x14ac:dyDescent="0.25">
      <c r="H4" s="166">
        <f>R3</f>
        <v>4000</v>
      </c>
    </row>
    <row r="5" spans="2:20" ht="9.75" customHeight="1" thickBot="1" x14ac:dyDescent="0.3"/>
    <row r="6" spans="2:20" ht="15.75" customHeight="1" x14ac:dyDescent="0.25">
      <c r="B6" s="10" t="s">
        <v>356</v>
      </c>
      <c r="C6" s="253" t="s">
        <v>381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R6" s="308">
        <v>200000</v>
      </c>
    </row>
    <row r="7" spans="2:20" ht="15.75" customHeight="1" x14ac:dyDescent="0.25">
      <c r="C7" s="254" t="s">
        <v>349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R7" s="308">
        <v>40000</v>
      </c>
    </row>
    <row r="8" spans="2:20" ht="15.75" customHeight="1" thickBot="1" x14ac:dyDescent="0.3">
      <c r="C8" s="250" t="s">
        <v>209</v>
      </c>
      <c r="D8" s="250"/>
      <c r="E8" s="250"/>
      <c r="F8" s="250"/>
      <c r="G8" s="250"/>
      <c r="H8" s="250"/>
      <c r="I8" s="250"/>
      <c r="J8" s="250"/>
      <c r="K8" s="250"/>
      <c r="L8" s="250"/>
      <c r="M8" s="250"/>
    </row>
    <row r="9" spans="2:20" ht="5.0999999999999996" customHeight="1" x14ac:dyDescent="0.25"/>
    <row r="10" spans="2:20" ht="15.75" customHeight="1" x14ac:dyDescent="0.25">
      <c r="C10" s="3" t="str">
        <f>CONCATENATE("Sales ($",P10,Q10,TEXT(R10,"#,##0"),"*)……………………………….……………………………………………….……………………………………………………….…………………...",)</f>
        <v>Sales ($400 × 3,800*)……………………………….……………………………………………….……………………………………………………….…………………...</v>
      </c>
      <c r="I10" s="6"/>
      <c r="J10" s="6" t="s">
        <v>380</v>
      </c>
      <c r="K10" s="283"/>
      <c r="L10" s="284"/>
      <c r="M10" s="5">
        <f>T10</f>
        <v>1520000</v>
      </c>
      <c r="P10" s="308">
        <v>400</v>
      </c>
      <c r="Q10" s="308" t="s">
        <v>469</v>
      </c>
      <c r="R10" s="308">
        <f>V22</f>
        <v>3800</v>
      </c>
      <c r="S10" s="308" t="s">
        <v>468</v>
      </c>
      <c r="T10" s="308">
        <f>SUM(P10*R10)</f>
        <v>1520000</v>
      </c>
    </row>
    <row r="11" spans="2:20" ht="15.75" customHeight="1" x14ac:dyDescent="0.25">
      <c r="C11" s="3" t="s">
        <v>435</v>
      </c>
      <c r="I11" s="6"/>
      <c r="J11" s="6" t="s">
        <v>380</v>
      </c>
      <c r="K11" s="283"/>
      <c r="L11" s="284"/>
      <c r="M11" s="15">
        <f>V23</f>
        <v>617900</v>
      </c>
    </row>
    <row r="12" spans="2:20" ht="15.75" customHeight="1" x14ac:dyDescent="0.25">
      <c r="C12" s="3" t="s">
        <v>436</v>
      </c>
      <c r="I12" s="6"/>
      <c r="J12" s="6" t="s">
        <v>380</v>
      </c>
      <c r="K12" s="283"/>
      <c r="L12" s="284"/>
      <c r="M12" s="71">
        <f>M10-M11</f>
        <v>902100</v>
      </c>
      <c r="P12" s="299" t="s">
        <v>818</v>
      </c>
      <c r="Q12" s="299"/>
      <c r="R12" s="308">
        <f>'2-24'!S34</f>
        <v>90000</v>
      </c>
    </row>
    <row r="13" spans="2:20" ht="5.0999999999999996" customHeight="1" x14ac:dyDescent="0.25">
      <c r="I13" s="6"/>
      <c r="J13" s="6"/>
      <c r="K13" s="45"/>
      <c r="L13" s="147"/>
      <c r="M13" s="71"/>
      <c r="P13" s="299"/>
      <c r="Q13" s="299"/>
    </row>
    <row r="14" spans="2:20" ht="15.75" customHeight="1" x14ac:dyDescent="0.25">
      <c r="C14" s="3" t="s">
        <v>350</v>
      </c>
      <c r="I14" s="6"/>
      <c r="J14" s="6"/>
      <c r="K14" s="6"/>
      <c r="M14" s="5"/>
      <c r="P14" s="299" t="s">
        <v>819</v>
      </c>
      <c r="Q14" s="299"/>
      <c r="R14" s="308">
        <f>'2-24'!S35</f>
        <v>180000</v>
      </c>
    </row>
    <row r="15" spans="2:20" ht="15.75" customHeight="1" x14ac:dyDescent="0.25">
      <c r="C15" s="104" t="s">
        <v>351</v>
      </c>
      <c r="D15" s="104"/>
      <c r="I15" s="6"/>
      <c r="J15" s="6"/>
      <c r="K15" s="159"/>
      <c r="P15" s="299" t="s">
        <v>820</v>
      </c>
      <c r="Q15" s="299"/>
      <c r="R15" s="308">
        <v>300000</v>
      </c>
    </row>
    <row r="16" spans="2:20" ht="15.75" customHeight="1" x14ac:dyDescent="0.25">
      <c r="C16" s="106" t="s">
        <v>437</v>
      </c>
      <c r="D16" s="104"/>
      <c r="I16" s="6"/>
      <c r="J16" s="6" t="s">
        <v>380</v>
      </c>
      <c r="K16" s="202">
        <f>R12</f>
        <v>90000</v>
      </c>
      <c r="P16" s="300"/>
      <c r="Q16" s="300"/>
    </row>
    <row r="17" spans="2:34" ht="15.75" customHeight="1" x14ac:dyDescent="0.25">
      <c r="C17" s="106" t="s">
        <v>438</v>
      </c>
      <c r="D17" s="104"/>
      <c r="I17" s="6"/>
      <c r="J17" s="6" t="s">
        <v>380</v>
      </c>
      <c r="K17" s="59">
        <f>'2-25'!R14</f>
        <v>180000</v>
      </c>
      <c r="M17" s="20">
        <f>SUM(K16:K17)</f>
        <v>270000</v>
      </c>
      <c r="P17" s="300"/>
      <c r="Q17" s="300"/>
    </row>
    <row r="18" spans="2:34" ht="15.75" customHeight="1" x14ac:dyDescent="0.25">
      <c r="C18" s="104" t="s">
        <v>439</v>
      </c>
      <c r="D18" s="104"/>
      <c r="I18" s="6"/>
      <c r="J18" s="6" t="s">
        <v>380</v>
      </c>
      <c r="K18" s="283"/>
      <c r="L18" s="284"/>
      <c r="M18" s="148">
        <f>R15</f>
        <v>300000</v>
      </c>
      <c r="P18" s="300"/>
      <c r="Q18" s="300"/>
    </row>
    <row r="19" spans="2:34" ht="15.75" customHeight="1" thickBot="1" x14ac:dyDescent="0.3">
      <c r="C19" s="174" t="s">
        <v>440</v>
      </c>
      <c r="D19" s="104"/>
      <c r="E19" s="6"/>
      <c r="F19" s="6"/>
      <c r="G19" s="6"/>
      <c r="H19" s="6"/>
      <c r="I19" s="6"/>
      <c r="J19" s="6" t="s">
        <v>380</v>
      </c>
      <c r="K19" s="283"/>
      <c r="L19" s="283"/>
      <c r="M19" s="72">
        <f>M12-M17-M18</f>
        <v>332100</v>
      </c>
      <c r="P19" s="300"/>
      <c r="Q19" s="300"/>
    </row>
    <row r="20" spans="2:34" ht="9.75" customHeight="1" thickTop="1" thickBot="1" x14ac:dyDescent="0.3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P20" s="300"/>
      <c r="Q20" s="300"/>
    </row>
    <row r="21" spans="2:34" ht="5.0999999999999996" customHeight="1" x14ac:dyDescent="0.25"/>
    <row r="22" spans="2:34" ht="15.75" customHeight="1" x14ac:dyDescent="0.25">
      <c r="B22" s="32" t="s">
        <v>366</v>
      </c>
      <c r="C22" s="2" t="str">
        <f>CONCATENATE("Units Sold = ",TEXT(P22,"#,##0"),Q22,R22,S22,T22,U22,TEXT(V22,"#,##0"))</f>
        <v>Units Sold = 4,000 + 500 – 700 = 3,800</v>
      </c>
      <c r="P22" s="308">
        <f>R3</f>
        <v>4000</v>
      </c>
      <c r="Q22" s="308" t="s">
        <v>467</v>
      </c>
      <c r="R22" s="308">
        <v>500</v>
      </c>
      <c r="S22" s="308" t="s">
        <v>470</v>
      </c>
      <c r="T22" s="308">
        <v>700</v>
      </c>
      <c r="U22" s="308" t="s">
        <v>468</v>
      </c>
      <c r="V22" s="308">
        <f>SUM(P22+R22-T22)</f>
        <v>3800</v>
      </c>
    </row>
    <row r="23" spans="2:34" ht="15.75" customHeight="1" x14ac:dyDescent="0.25">
      <c r="B23" s="32" t="s">
        <v>374</v>
      </c>
      <c r="C23" s="2" t="str">
        <f>CONCATENATE("Cost of Goods Sold = ",TEXT(P23,"$#,##0"),Q23,TEXT(R23,"$#,##0"),S23,TEXT(T23,"$#,##0"),U23,TEXT(V23,"$#,##0"),)</f>
        <v>Cost of Goods Sold = $652,000 + $80,000 – $114,100 = $617,900</v>
      </c>
      <c r="P23" s="308">
        <f>P3</f>
        <v>652000</v>
      </c>
      <c r="Q23" s="308" t="s">
        <v>467</v>
      </c>
      <c r="R23" s="308">
        <f>'2-24'!S39</f>
        <v>80000</v>
      </c>
      <c r="S23" s="308" t="s">
        <v>470</v>
      </c>
      <c r="T23" s="308">
        <f>-'2-24'!S40</f>
        <v>114100</v>
      </c>
      <c r="U23" s="308" t="s">
        <v>468</v>
      </c>
      <c r="V23" s="308">
        <f>SUM(P23+R23-T23)</f>
        <v>617900</v>
      </c>
    </row>
    <row r="24" spans="2:34" ht="15.75" customHeight="1" x14ac:dyDescent="0.25">
      <c r="N24" s="6"/>
      <c r="O24" s="6"/>
    </row>
    <row r="25" spans="2:34" ht="15.75" customHeight="1" x14ac:dyDescent="0.25">
      <c r="B25" s="159" t="s">
        <v>418</v>
      </c>
      <c r="D25" s="54"/>
      <c r="N25" s="6"/>
      <c r="O25" s="41"/>
      <c r="P25" s="319"/>
      <c r="Q25" s="319"/>
      <c r="R25" s="319"/>
    </row>
    <row r="26" spans="2:34" ht="15.75" customHeight="1" x14ac:dyDescent="0.25">
      <c r="B26" s="10" t="s">
        <v>354</v>
      </c>
      <c r="C26" s="3" t="str">
        <f>CONCATENATE("The Internet payment of ",TEXT(R26,"$#,##0")," is an expense that would appear on the income")</f>
        <v>The Internet payment of $40 is an expense that would appear on the income</v>
      </c>
      <c r="N26" s="6"/>
      <c r="O26" s="6"/>
      <c r="P26" s="308" t="s">
        <v>159</v>
      </c>
      <c r="R26" s="308">
        <v>40</v>
      </c>
      <c r="S26" s="323" t="s">
        <v>821</v>
      </c>
      <c r="T26" s="323"/>
    </row>
    <row r="27" spans="2:34" ht="15.75" customHeight="1" x14ac:dyDescent="0.25">
      <c r="C27" s="3" t="s">
        <v>601</v>
      </c>
      <c r="N27" s="6"/>
      <c r="O27" s="6"/>
    </row>
    <row r="28" spans="2:34" ht="15.75" customHeight="1" x14ac:dyDescent="0.25">
      <c r="C28" s="3" t="str">
        <f>CONCATENATE("cannot “save” any unused Internet time for the next month.")</f>
        <v>cannot “save” any unused Internet time for the next month.</v>
      </c>
      <c r="N28" s="6"/>
      <c r="O28" s="6"/>
    </row>
    <row r="29" spans="2:34" ht="9.75" customHeight="1" x14ac:dyDescent="0.25">
      <c r="N29" s="6"/>
      <c r="O29" s="6"/>
      <c r="U29" s="354"/>
      <c r="AH29" s="3" t="s">
        <v>419</v>
      </c>
    </row>
    <row r="30" spans="2:34" ht="15.75" customHeight="1" x14ac:dyDescent="0.25">
      <c r="B30" s="10" t="s">
        <v>355</v>
      </c>
      <c r="C30" s="3" t="str">
        <f>CONCATENATE("The opportunity cost is the ",TEXT(P30,"$#,##0")," that ",P26," would have made if she had been able ")</f>
        <v xml:space="preserve">The opportunity cost is the $100 that Luisa would have made if she had been able </v>
      </c>
      <c r="N30" s="6"/>
      <c r="O30" s="6"/>
      <c r="P30" s="308">
        <v>100</v>
      </c>
      <c r="Q30" s="355" t="s">
        <v>822</v>
      </c>
      <c r="R30" s="355"/>
    </row>
    <row r="31" spans="2:34" ht="15.75" customHeight="1" x14ac:dyDescent="0.25">
      <c r="C31" s="3" t="s">
        <v>603</v>
      </c>
      <c r="N31" s="6"/>
      <c r="O31" s="6"/>
    </row>
    <row r="32" spans="2:34" ht="15.75" customHeight="1" x14ac:dyDescent="0.25">
      <c r="C32" s="3" t="s">
        <v>602</v>
      </c>
    </row>
    <row r="33" spans="2:20" ht="9.75" customHeight="1" x14ac:dyDescent="0.25"/>
    <row r="34" spans="2:20" ht="15.75" customHeight="1" x14ac:dyDescent="0.25">
      <c r="B34" s="10" t="s">
        <v>356</v>
      </c>
      <c r="C34" s="3" t="str">
        <f>CONCATENATE("The price is ",TEXT(P34,"$#,##0")," per month per dog. (Note: The price is charged by ",P26," to her ")</f>
        <v xml:space="preserve">The price is $250 per month per dog. (Note: The price is charged by Luisa to her </v>
      </c>
      <c r="P34" s="308">
        <v>250</v>
      </c>
      <c r="Q34" s="356" t="s">
        <v>823</v>
      </c>
      <c r="R34" s="356"/>
    </row>
    <row r="35" spans="2:20" ht="15.75" customHeight="1" x14ac:dyDescent="0.25">
      <c r="C35" s="3" t="s">
        <v>604</v>
      </c>
    </row>
    <row r="36" spans="2:20" ht="5.0999999999999996" customHeight="1" x14ac:dyDescent="0.25"/>
    <row r="37" spans="2:20" ht="15.75" customHeight="1" x14ac:dyDescent="0.25">
      <c r="C37" s="3" t="str">
        <f>CONCATENATE("Total Revenue for a Month = ",TEXT(P37,"$#,##0"),Q37,TEXT(R37,"#,##0")," dogs = ",TEXT(T37,"$#,##0"),)</f>
        <v>Total Revenue for a Month = $250 × 12 dogs = $3,000</v>
      </c>
      <c r="P37" s="308">
        <f>P34</f>
        <v>250</v>
      </c>
      <c r="Q37" s="308" t="s">
        <v>469</v>
      </c>
      <c r="R37" s="308">
        <v>12</v>
      </c>
      <c r="S37" s="308" t="s">
        <v>468</v>
      </c>
      <c r="T37" s="308">
        <f>SUM(P37*R37)</f>
        <v>3000</v>
      </c>
    </row>
    <row r="38" spans="2:20" ht="9.75" customHeight="1" x14ac:dyDescent="0.25"/>
    <row r="39" spans="2:20" ht="15.75" customHeight="1" x14ac:dyDescent="0.25"/>
    <row r="40" spans="2:20" ht="15.75" customHeight="1" x14ac:dyDescent="0.25"/>
    <row r="41" spans="2:20" ht="15.75" customHeight="1" x14ac:dyDescent="0.25"/>
    <row r="42" spans="2:20" ht="15.75" customHeight="1" x14ac:dyDescent="0.25"/>
    <row r="43" spans="2:20" ht="15.75" customHeight="1" x14ac:dyDescent="0.25"/>
    <row r="44" spans="2:20" ht="15.75" customHeight="1" x14ac:dyDescent="0.25"/>
    <row r="45" spans="2:20" ht="15.75" customHeight="1" x14ac:dyDescent="0.25"/>
    <row r="46" spans="2:20" ht="15.75" customHeight="1" x14ac:dyDescent="0.25"/>
    <row r="47" spans="2:20" ht="15.75" customHeight="1" x14ac:dyDescent="0.25"/>
    <row r="48" spans="2:2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</sheetData>
  <customSheetViews>
    <customSheetView guid="{C95BCE97-951E-4C98-84AE-A423A99BB34B}" showPageBreaks="1" fitToPage="1" printArea="1" topLeftCell="A19">
      <selection activeCell="H44" sqref="H44"/>
      <pageMargins left="0.5" right="1" top="0.85" bottom="0.8" header="0.5" footer="0.35"/>
      <printOptions horizontalCentered="1"/>
      <pageSetup scale="94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19">
      <selection activeCell="H44" sqref="H44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 topLeftCell="A19">
      <selection activeCell="H44" sqref="H44"/>
      <pageMargins left="0.5" right="1" top="0.85" bottom="0.8" header="0.5" footer="0.35"/>
      <printOptions horizontalCentered="1"/>
      <pageSetup scale="94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5">
    <mergeCell ref="S26:T26"/>
    <mergeCell ref="Q30:R30"/>
    <mergeCell ref="Q34:R34"/>
    <mergeCell ref="P12:Q12"/>
    <mergeCell ref="P13:Q13"/>
    <mergeCell ref="P14:Q14"/>
    <mergeCell ref="P15:Q15"/>
    <mergeCell ref="K18:L18"/>
    <mergeCell ref="K19:L19"/>
    <mergeCell ref="C6:M6"/>
    <mergeCell ref="C7:M7"/>
    <mergeCell ref="C8:M8"/>
    <mergeCell ref="K10:L10"/>
    <mergeCell ref="K11:L11"/>
    <mergeCell ref="K12:L12"/>
  </mergeCells>
  <phoneticPr fontId="11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0"/>
  <sheetViews>
    <sheetView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11" style="3" bestFit="1" customWidth="1"/>
    <col min="5" max="5" width="9.140625" style="3"/>
    <col min="6" max="6" width="9.42578125" style="3" customWidth="1"/>
    <col min="7" max="7" width="8.140625" style="3" customWidth="1"/>
    <col min="8" max="8" width="13.5703125" style="3" customWidth="1"/>
    <col min="9" max="9" width="5" style="3" customWidth="1"/>
    <col min="10" max="10" width="1.85546875" style="3" customWidth="1"/>
    <col min="11" max="11" width="10.42578125" style="3" customWidth="1"/>
    <col min="12" max="12" width="2.140625" style="3" customWidth="1"/>
    <col min="13" max="13" width="11.85546875" style="3" customWidth="1"/>
    <col min="14" max="14" width="9.140625" style="3"/>
    <col min="15" max="15" width="11.28515625" style="297" hidden="1" customWidth="1"/>
    <col min="16" max="16" width="8.7109375" style="318" hidden="1" customWidth="1"/>
    <col min="17" max="17" width="2.7109375" style="318" hidden="1" customWidth="1"/>
    <col min="18" max="18" width="8.7109375" style="318" hidden="1" customWidth="1"/>
    <col min="19" max="19" width="2.7109375" style="318" hidden="1" customWidth="1"/>
    <col min="20" max="20" width="0" style="318" hidden="1" customWidth="1"/>
    <col min="21" max="21" width="2.7109375" style="318" hidden="1" customWidth="1"/>
    <col min="22" max="22" width="0" style="318" hidden="1" customWidth="1"/>
    <col min="23" max="23" width="2.7109375" style="318" hidden="1" customWidth="1"/>
    <col min="24" max="24" width="0" style="318" hidden="1" customWidth="1"/>
    <col min="25" max="25" width="2.7109375" style="3" customWidth="1"/>
    <col min="26" max="26" width="9.140625" style="3"/>
    <col min="27" max="27" width="2.7109375" style="3" customWidth="1"/>
    <col min="28" max="16384" width="9.140625" style="3"/>
  </cols>
  <sheetData>
    <row r="1" spans="2:22" ht="30" customHeight="1" x14ac:dyDescent="0.25"/>
    <row r="2" spans="2:22" ht="15.75" customHeight="1" x14ac:dyDescent="0.25">
      <c r="B2" s="6" t="s">
        <v>420</v>
      </c>
      <c r="N2" s="6"/>
    </row>
    <row r="3" spans="2:22" ht="15.75" customHeight="1" x14ac:dyDescent="0.25">
      <c r="B3" s="10" t="s">
        <v>354</v>
      </c>
      <c r="C3" s="3" t="s">
        <v>388</v>
      </c>
      <c r="N3" s="6"/>
      <c r="Q3" s="319"/>
      <c r="R3" s="319"/>
      <c r="S3" s="319"/>
      <c r="T3" s="319"/>
    </row>
    <row r="4" spans="2:22" ht="15.75" customHeight="1" x14ac:dyDescent="0.25">
      <c r="C4" s="104" t="str">
        <f>CONCATENATE(P4," (",TEXT(R4,"#,##0"),S4,TEXT(T4,"$#,##0.00"),")………………………………………………………………………………………………………………………………………………………….",)</f>
        <v>Magazine (5,000 × $0.40)………………………………………………………………………………………………………………………………………………………….</v>
      </c>
      <c r="J4" s="3" t="s">
        <v>380</v>
      </c>
      <c r="K4" s="33">
        <f>V4</f>
        <v>2000</v>
      </c>
      <c r="N4" s="6"/>
      <c r="P4" s="356" t="s">
        <v>172</v>
      </c>
      <c r="Q4" s="356"/>
      <c r="R4" s="308">
        <v>5000</v>
      </c>
      <c r="S4" s="308" t="s">
        <v>469</v>
      </c>
      <c r="T4" s="349">
        <v>0.4</v>
      </c>
      <c r="U4" s="308" t="s">
        <v>468</v>
      </c>
      <c r="V4" s="308">
        <f>SUM(R4*T4)</f>
        <v>2000</v>
      </c>
    </row>
    <row r="5" spans="2:22" ht="15.75" customHeight="1" x14ac:dyDescent="0.25">
      <c r="C5" s="104" t="str">
        <f>CONCATENATE(P5," (",TEXT(R5,"#,##0"),S5,TEXT(T5,"$#,##0.00"),")………………………………………………………………………………………………………………………………………………………….",)</f>
        <v>Brochure (10,000 × $0.08)………………………………………………………………………………………………………………………………………………………….</v>
      </c>
      <c r="J5" s="3" t="s">
        <v>380</v>
      </c>
      <c r="K5" s="15">
        <f>V5</f>
        <v>800</v>
      </c>
      <c r="M5" s="5">
        <f>SUM(K4:K5)</f>
        <v>2800</v>
      </c>
      <c r="N5" s="6"/>
      <c r="P5" s="356" t="s">
        <v>173</v>
      </c>
      <c r="Q5" s="356"/>
      <c r="R5" s="308">
        <v>10000</v>
      </c>
      <c r="S5" s="308" t="s">
        <v>469</v>
      </c>
      <c r="T5" s="349">
        <v>0.08</v>
      </c>
      <c r="U5" s="308" t="s">
        <v>468</v>
      </c>
      <c r="V5" s="308">
        <f>SUM(R5*T5)</f>
        <v>800</v>
      </c>
    </row>
    <row r="6" spans="2:22" ht="5.0999999999999996" customHeight="1" x14ac:dyDescent="0.25">
      <c r="C6" s="104"/>
      <c r="K6" s="20"/>
      <c r="M6" s="5"/>
      <c r="N6" s="6"/>
      <c r="P6" s="308"/>
      <c r="Q6" s="308"/>
      <c r="R6" s="349"/>
      <c r="S6" s="308"/>
      <c r="T6" s="308"/>
    </row>
    <row r="7" spans="2:22" ht="15.75" customHeight="1" x14ac:dyDescent="0.25">
      <c r="C7" s="3" t="s">
        <v>389</v>
      </c>
      <c r="N7" s="6"/>
    </row>
    <row r="8" spans="2:22" ht="15.75" customHeight="1" x14ac:dyDescent="0.25">
      <c r="C8" s="104" t="str">
        <f>CONCATENATE(P4," (",TEXT(P8,"#,##0"),Q8,TEXT(R8,"#,##0"),S8,TEXT(T8,"$#,##0"),")………………………………………………………………………………………………………………………………………………………..",)</f>
        <v>Magazine (5,000/20 × $10)………………………………………………………………………………………………………………………………………………………..</v>
      </c>
      <c r="J8" s="3" t="s">
        <v>380</v>
      </c>
      <c r="K8" s="33">
        <f>V8</f>
        <v>2500</v>
      </c>
      <c r="N8" s="6"/>
      <c r="P8" s="308">
        <f>R4</f>
        <v>5000</v>
      </c>
      <c r="Q8" s="308" t="s">
        <v>495</v>
      </c>
      <c r="R8" s="308">
        <v>20</v>
      </c>
      <c r="S8" s="308" t="s">
        <v>469</v>
      </c>
      <c r="T8" s="308">
        <v>10</v>
      </c>
      <c r="U8" s="308" t="s">
        <v>468</v>
      </c>
      <c r="V8" s="308">
        <f>SUM(P8/R8*T8)</f>
        <v>2500</v>
      </c>
    </row>
    <row r="9" spans="2:22" ht="15.75" customHeight="1" x14ac:dyDescent="0.25">
      <c r="C9" s="104" t="str">
        <f>CONCATENATE(P5," (",TEXT(P9,"#,##0"),Q9,TEXT(R9,"#,##0"),S9,TEXT(T9,"$#,##0"),")………………………………………………………………………………………………………………………………………………………..",)</f>
        <v>Brochure (10,000/100 × $10)………………………………………………………………………………………………………………………………………………………..</v>
      </c>
      <c r="J9" s="3" t="s">
        <v>380</v>
      </c>
      <c r="K9" s="15">
        <f>V9</f>
        <v>1000</v>
      </c>
      <c r="M9" s="13">
        <f>SUM(K8:K9)</f>
        <v>3500</v>
      </c>
      <c r="N9" s="6"/>
      <c r="P9" s="308">
        <f>R5</f>
        <v>10000</v>
      </c>
      <c r="Q9" s="308" t="s">
        <v>495</v>
      </c>
      <c r="R9" s="308">
        <v>100</v>
      </c>
      <c r="S9" s="308" t="s">
        <v>469</v>
      </c>
      <c r="T9" s="308">
        <v>10</v>
      </c>
      <c r="U9" s="308" t="s">
        <v>468</v>
      </c>
      <c r="V9" s="308">
        <f>SUM(P9/R9*T9)</f>
        <v>1000</v>
      </c>
    </row>
    <row r="10" spans="2:22" ht="5.0999999999999996" customHeight="1" x14ac:dyDescent="0.25">
      <c r="C10" s="104"/>
      <c r="K10" s="20"/>
      <c r="M10" s="13"/>
      <c r="N10" s="6"/>
    </row>
    <row r="11" spans="2:22" ht="15.75" customHeight="1" x14ac:dyDescent="0.25">
      <c r="C11" s="3" t="s">
        <v>395</v>
      </c>
      <c r="N11" s="6"/>
    </row>
    <row r="12" spans="2:22" ht="15.75" customHeight="1" x14ac:dyDescent="0.25">
      <c r="C12" s="104" t="s">
        <v>605</v>
      </c>
      <c r="J12" s="3" t="s">
        <v>380</v>
      </c>
      <c r="K12" s="33">
        <f>P12</f>
        <v>1400</v>
      </c>
      <c r="N12" s="6"/>
      <c r="O12" s="303" t="s">
        <v>788</v>
      </c>
      <c r="P12" s="308">
        <v>1400</v>
      </c>
    </row>
    <row r="13" spans="2:22" ht="15.75" customHeight="1" x14ac:dyDescent="0.25">
      <c r="C13" s="104" t="str">
        <f>CONCATENATE("Depreciation (",TEXT(P13,"$#,##0"),Q13,TEXT(R13,"#,##0"),S13,TEXT(T13,"#,##0"),"*)………………………………………………………………………………………………………………………………………………….",)</f>
        <v>Depreciation ($40,000/20,000 × 350*)………………………………………………………………………………………………………………………………………………….</v>
      </c>
      <c r="G13" s="54"/>
      <c r="J13" s="3" t="s">
        <v>380</v>
      </c>
      <c r="K13" s="13">
        <f>V13</f>
        <v>700</v>
      </c>
      <c r="N13" s="6"/>
      <c r="O13" s="303" t="s">
        <v>826</v>
      </c>
      <c r="P13" s="308">
        <v>40000</v>
      </c>
      <c r="Q13" s="308" t="s">
        <v>495</v>
      </c>
      <c r="R13" s="308">
        <v>20000</v>
      </c>
      <c r="S13" s="308" t="s">
        <v>469</v>
      </c>
      <c r="T13" s="308">
        <v>350</v>
      </c>
      <c r="U13" s="308" t="s">
        <v>468</v>
      </c>
      <c r="V13" s="308">
        <f>SUM(P13/R13*T13)</f>
        <v>700</v>
      </c>
    </row>
    <row r="14" spans="2:22" ht="15.75" customHeight="1" x14ac:dyDescent="0.25">
      <c r="C14" s="104" t="s">
        <v>160</v>
      </c>
      <c r="J14" s="3" t="s">
        <v>380</v>
      </c>
      <c r="K14" s="13">
        <f>P14</f>
        <v>600</v>
      </c>
      <c r="N14" s="6"/>
      <c r="O14" s="303" t="s">
        <v>827</v>
      </c>
      <c r="P14" s="308">
        <v>600</v>
      </c>
    </row>
    <row r="15" spans="2:22" ht="15.75" customHeight="1" x14ac:dyDescent="0.25">
      <c r="C15" s="104" t="s">
        <v>161</v>
      </c>
      <c r="J15" s="3" t="s">
        <v>380</v>
      </c>
      <c r="K15" s="13">
        <f>P15</f>
        <v>140</v>
      </c>
      <c r="N15" s="6"/>
      <c r="O15" s="303" t="s">
        <v>828</v>
      </c>
      <c r="P15" s="308">
        <v>140</v>
      </c>
    </row>
    <row r="16" spans="2:22" ht="15.75" customHeight="1" x14ac:dyDescent="0.25">
      <c r="C16" s="104" t="s">
        <v>162</v>
      </c>
      <c r="J16" s="3" t="s">
        <v>380</v>
      </c>
      <c r="K16" s="15">
        <f>P16</f>
        <v>350</v>
      </c>
      <c r="M16" s="15">
        <f>SUM(K12:K16)</f>
        <v>3190</v>
      </c>
      <c r="N16" s="6"/>
      <c r="O16" s="303" t="s">
        <v>829</v>
      </c>
      <c r="P16" s="308">
        <f>T13</f>
        <v>350</v>
      </c>
    </row>
    <row r="17" spans="2:24" ht="15.75" customHeight="1" thickBot="1" x14ac:dyDescent="0.3">
      <c r="C17" s="50" t="s">
        <v>163</v>
      </c>
      <c r="J17" s="3" t="s">
        <v>380</v>
      </c>
      <c r="K17" s="3" t="s">
        <v>380</v>
      </c>
      <c r="M17" s="14">
        <f>SUM(M5:M16)</f>
        <v>9490</v>
      </c>
      <c r="N17" s="6"/>
      <c r="P17" s="357" t="s">
        <v>824</v>
      </c>
      <c r="Q17" s="357"/>
      <c r="R17" s="357"/>
      <c r="T17" s="357" t="s">
        <v>825</v>
      </c>
      <c r="U17" s="357"/>
      <c r="V17" s="357"/>
    </row>
    <row r="18" spans="2:24" ht="9.75" customHeight="1" thickTop="1" x14ac:dyDescent="0.25">
      <c r="N18" s="6"/>
      <c r="P18" s="357"/>
      <c r="Q18" s="357"/>
      <c r="R18" s="357"/>
      <c r="T18" s="357"/>
      <c r="U18" s="357"/>
      <c r="V18" s="357"/>
    </row>
    <row r="19" spans="2:24" ht="14.1" customHeight="1" x14ac:dyDescent="0.25">
      <c r="B19" s="32" t="s">
        <v>366</v>
      </c>
      <c r="C19" s="2" t="str">
        <f>CONCATENATE("Production is ",TEXT(P19,"#,##0")," units per printing hour for magazines and ",TEXT(T19,"#,##0")," units per printing hour for ")</f>
        <v xml:space="preserve">Production is 20 units per printing hour for magazines and 100 units per printing hour for </v>
      </c>
      <c r="D19" s="2"/>
      <c r="N19" s="6"/>
      <c r="P19" s="308">
        <f>R8</f>
        <v>20</v>
      </c>
      <c r="Q19" s="309"/>
      <c r="T19" s="308">
        <f>R9</f>
        <v>100</v>
      </c>
      <c r="U19" s="309"/>
      <c r="V19" s="309"/>
    </row>
    <row r="20" spans="2:24" ht="14.1" customHeight="1" x14ac:dyDescent="0.25">
      <c r="C20" s="2" t="str">
        <f>CONCATENATE("brochures, yielding monthly machine hours of ",TEXT(X20,"#,##0")," [(",TEXT(P20,"#,##0"),Q20,TEXT(R20,"#,##0"),")",S20,"(",TEXT(T20,"#,##0"),U20,TEXT(V20,"#,##0"),")]. This is also ")</f>
        <v xml:space="preserve">brochures, yielding monthly machine hours of 350 [(5,000/20) + (10,000/100)]. This is also </v>
      </c>
      <c r="D20" s="2"/>
      <c r="N20" s="6"/>
      <c r="P20" s="308">
        <f>R4</f>
        <v>5000</v>
      </c>
      <c r="Q20" s="308" t="s">
        <v>495</v>
      </c>
      <c r="R20" s="308">
        <f>R8</f>
        <v>20</v>
      </c>
      <c r="S20" s="308" t="s">
        <v>467</v>
      </c>
      <c r="T20" s="308">
        <f>P9</f>
        <v>10000</v>
      </c>
      <c r="U20" s="308" t="s">
        <v>495</v>
      </c>
      <c r="V20" s="308">
        <f>R9</f>
        <v>100</v>
      </c>
      <c r="W20" s="308" t="s">
        <v>468</v>
      </c>
      <c r="X20" s="308">
        <f>SUM(P20/R20)+(T20/V20)</f>
        <v>350</v>
      </c>
    </row>
    <row r="21" spans="2:24" ht="14.1" customHeight="1" x14ac:dyDescent="0.25">
      <c r="C21" s="2" t="s">
        <v>376</v>
      </c>
      <c r="D21" s="2"/>
      <c r="N21" s="6"/>
    </row>
    <row r="22" spans="2:24" ht="9.75" customHeight="1" x14ac:dyDescent="0.25">
      <c r="N22" s="6"/>
    </row>
    <row r="23" spans="2:24" ht="15.75" customHeight="1" x14ac:dyDescent="0.25">
      <c r="B23" s="10" t="s">
        <v>355</v>
      </c>
      <c r="C23" s="3" t="s">
        <v>164</v>
      </c>
      <c r="J23" s="3" t="s">
        <v>380</v>
      </c>
      <c r="K23" s="5">
        <f>M5</f>
        <v>2800</v>
      </c>
      <c r="N23" s="6"/>
    </row>
    <row r="24" spans="2:24" ht="15.75" customHeight="1" x14ac:dyDescent="0.25">
      <c r="C24" s="3" t="s">
        <v>165</v>
      </c>
      <c r="J24" s="3" t="s">
        <v>380</v>
      </c>
      <c r="K24" s="15">
        <f>M9</f>
        <v>3500</v>
      </c>
      <c r="N24" s="6"/>
    </row>
    <row r="25" spans="2:24" ht="15.75" customHeight="1" thickBot="1" x14ac:dyDescent="0.3">
      <c r="C25" s="104" t="s">
        <v>166</v>
      </c>
      <c r="J25" s="3" t="s">
        <v>380</v>
      </c>
      <c r="K25" s="14">
        <f>SUM(K23:K24)</f>
        <v>6300</v>
      </c>
      <c r="N25" s="6"/>
    </row>
    <row r="26" spans="2:24" ht="5.0999999999999996" customHeight="1" thickTop="1" x14ac:dyDescent="0.25">
      <c r="C26" s="104"/>
      <c r="K26" s="9"/>
      <c r="N26" s="6"/>
    </row>
    <row r="27" spans="2:24" ht="15.75" customHeight="1" x14ac:dyDescent="0.25">
      <c r="C27" s="3" t="s">
        <v>377</v>
      </c>
      <c r="N27" s="6"/>
    </row>
    <row r="28" spans="2:24" ht="15.75" customHeight="1" x14ac:dyDescent="0.25">
      <c r="C28" s="104" t="s">
        <v>167</v>
      </c>
      <c r="J28" s="3" t="s">
        <v>380</v>
      </c>
      <c r="K28" s="5">
        <f>K4</f>
        <v>2000</v>
      </c>
      <c r="N28" s="6"/>
    </row>
    <row r="29" spans="2:24" ht="15.75" customHeight="1" x14ac:dyDescent="0.25">
      <c r="C29" s="104" t="s">
        <v>168</v>
      </c>
      <c r="J29" s="3" t="s">
        <v>380</v>
      </c>
      <c r="K29" s="15">
        <f>K8</f>
        <v>2500</v>
      </c>
      <c r="N29" s="6"/>
    </row>
    <row r="30" spans="2:24" ht="15.75" customHeight="1" thickBot="1" x14ac:dyDescent="0.3">
      <c r="C30" s="106" t="s">
        <v>169</v>
      </c>
      <c r="J30" s="3" t="s">
        <v>380</v>
      </c>
      <c r="K30" s="14">
        <f>SUM(K28:K29)</f>
        <v>4500</v>
      </c>
      <c r="N30" s="6"/>
    </row>
    <row r="31" spans="2:24" ht="5.0999999999999996" customHeight="1" thickTop="1" x14ac:dyDescent="0.25">
      <c r="K31" s="9"/>
      <c r="N31" s="6"/>
    </row>
    <row r="32" spans="2:24" ht="15.75" customHeight="1" x14ac:dyDescent="0.25">
      <c r="C32" s="3" t="s">
        <v>378</v>
      </c>
    </row>
    <row r="33" spans="2:22" ht="15.75" customHeight="1" x14ac:dyDescent="0.25">
      <c r="C33" s="104" t="s">
        <v>167</v>
      </c>
      <c r="J33" s="3" t="s">
        <v>380</v>
      </c>
      <c r="K33" s="80">
        <f>K5</f>
        <v>800</v>
      </c>
    </row>
    <row r="34" spans="2:22" ht="15.75" customHeight="1" x14ac:dyDescent="0.25">
      <c r="C34" s="104" t="s">
        <v>168</v>
      </c>
      <c r="J34" s="3" t="s">
        <v>380</v>
      </c>
      <c r="K34" s="15">
        <f>K9</f>
        <v>1000</v>
      </c>
    </row>
    <row r="35" spans="2:22" ht="15.75" customHeight="1" thickBot="1" x14ac:dyDescent="0.3">
      <c r="C35" s="106" t="s">
        <v>169</v>
      </c>
      <c r="J35" s="3" t="s">
        <v>380</v>
      </c>
      <c r="K35" s="14">
        <f>SUM(K33:K34)</f>
        <v>1800</v>
      </c>
    </row>
    <row r="36" spans="2:22" ht="9.75" customHeight="1" thickTop="1" x14ac:dyDescent="0.25"/>
    <row r="37" spans="2:22" ht="15.75" customHeight="1" x14ac:dyDescent="0.25">
      <c r="B37" s="10" t="s">
        <v>356</v>
      </c>
      <c r="C37" s="3" t="s">
        <v>390</v>
      </c>
    </row>
    <row r="38" spans="2:22" ht="15.75" customHeight="1" x14ac:dyDescent="0.25">
      <c r="C38" s="104" t="s">
        <v>168</v>
      </c>
      <c r="J38" s="3" t="s">
        <v>380</v>
      </c>
      <c r="K38" s="5">
        <f>M9</f>
        <v>3500</v>
      </c>
    </row>
    <row r="39" spans="2:22" ht="15.75" customHeight="1" x14ac:dyDescent="0.25">
      <c r="C39" s="104" t="s">
        <v>170</v>
      </c>
      <c r="J39" s="3" t="s">
        <v>380</v>
      </c>
      <c r="K39" s="13">
        <f>M16</f>
        <v>3190</v>
      </c>
    </row>
    <row r="40" spans="2:22" ht="15.75" customHeight="1" thickBot="1" x14ac:dyDescent="0.3">
      <c r="C40" s="106" t="s">
        <v>171</v>
      </c>
      <c r="J40" s="3" t="s">
        <v>380</v>
      </c>
      <c r="K40" s="14">
        <f>SUM(K38:K39)</f>
        <v>6690</v>
      </c>
    </row>
    <row r="41" spans="2:22" ht="5.0999999999999996" customHeight="1" thickTop="1" x14ac:dyDescent="0.25"/>
    <row r="42" spans="2:22" ht="15.75" customHeight="1" x14ac:dyDescent="0.25">
      <c r="C42" s="3" t="s">
        <v>377</v>
      </c>
    </row>
    <row r="43" spans="2:22" ht="15.75" customHeight="1" x14ac:dyDescent="0.25">
      <c r="D43" s="3" t="s">
        <v>168</v>
      </c>
      <c r="J43" s="3" t="s">
        <v>380</v>
      </c>
      <c r="K43" s="3" t="s">
        <v>380</v>
      </c>
      <c r="M43" s="5">
        <f>K8</f>
        <v>2500</v>
      </c>
    </row>
    <row r="44" spans="2:22" ht="15.75" customHeight="1" x14ac:dyDescent="0.25">
      <c r="D44" s="3" t="s">
        <v>395</v>
      </c>
    </row>
    <row r="45" spans="2:22" ht="15.75" customHeight="1" x14ac:dyDescent="0.25">
      <c r="D45" s="104" t="str">
        <f>CONCATENATE("Power (",TEXT(P45,"$#,##0"),Q45,TEXT(R45,"#,##0"),")…………………………………………………………………………………………………………………………………………………………………….",)</f>
        <v>Power ($1 × 250)…………………………………………………………………………………………………………………………………………………………………….</v>
      </c>
      <c r="J45" s="3" t="s">
        <v>380</v>
      </c>
      <c r="K45" s="80">
        <f>T45</f>
        <v>250</v>
      </c>
      <c r="P45" s="308">
        <v>1</v>
      </c>
      <c r="Q45" s="308" t="s">
        <v>469</v>
      </c>
      <c r="R45" s="308">
        <v>250</v>
      </c>
      <c r="S45" s="308" t="s">
        <v>468</v>
      </c>
      <c r="T45" s="308">
        <f>SUM(P45*R45)</f>
        <v>250</v>
      </c>
    </row>
    <row r="46" spans="2:22" ht="15.75" customHeight="1" x14ac:dyDescent="0.25">
      <c r="D46" s="104" t="str">
        <f>CONCATENATE("Depreciation (",TEXT(P46,"$#,##0"),Q46,TEXT(R46,"#,##0"),")…………………………………………………………………………………………………………………………………………………………………….",)</f>
        <v>Depreciation ($2 × 250)…………………………………………………………………………………………………………………………………………………………………….</v>
      </c>
      <c r="J46" s="3" t="s">
        <v>380</v>
      </c>
      <c r="K46" s="13">
        <f>T46</f>
        <v>500</v>
      </c>
      <c r="P46" s="308">
        <v>2</v>
      </c>
      <c r="Q46" s="308" t="s">
        <v>469</v>
      </c>
      <c r="R46" s="308">
        <f>R45</f>
        <v>250</v>
      </c>
      <c r="S46" s="308" t="s">
        <v>468</v>
      </c>
      <c r="T46" s="308">
        <f>SUM(P46*R46)</f>
        <v>500</v>
      </c>
    </row>
    <row r="47" spans="2:22" ht="15.75" customHeight="1" x14ac:dyDescent="0.25">
      <c r="D47" s="104" t="str">
        <f>CONCATENATE("Setups (",P47,Q47,R47,S47,TEXT(T47,"$#,##0"),")……………………………………………………………………………………………………………………………………………………….")</f>
        <v>Setups (2/3 × $600)……………………………………………………………………………………………………………………………………………………….</v>
      </c>
      <c r="J47" s="3" t="s">
        <v>380</v>
      </c>
      <c r="K47" s="13">
        <f>V47</f>
        <v>400</v>
      </c>
      <c r="P47" s="308">
        <v>2</v>
      </c>
      <c r="Q47" s="321" t="s">
        <v>495</v>
      </c>
      <c r="R47" s="308">
        <v>3</v>
      </c>
      <c r="S47" s="308" t="s">
        <v>469</v>
      </c>
      <c r="T47" s="308">
        <f>P14</f>
        <v>600</v>
      </c>
      <c r="U47" s="308" t="s">
        <v>468</v>
      </c>
      <c r="V47" s="308">
        <f>SUM(P47/R47*T47)</f>
        <v>400</v>
      </c>
    </row>
    <row r="48" spans="2:22" ht="15.75" customHeight="1" x14ac:dyDescent="0.25">
      <c r="D48" s="104" t="str">
        <f>CONCATENATE("Rent and insurance (",TEXT(P48,"$#,##0.00"),Q48,TEXT(R48,"#,##0")," DLH)*……………………………………………………………………………………………………………………………………………………………………")</f>
        <v>Rent and insurance ($4.40 × 250 DLH)*……………………………………………………………………………………………………………………………………………………………………</v>
      </c>
      <c r="J48" s="3" t="s">
        <v>380</v>
      </c>
      <c r="K48" s="15">
        <f>T48</f>
        <v>1100</v>
      </c>
      <c r="M48" s="15">
        <f>SUM(K45:K48)</f>
        <v>2250</v>
      </c>
      <c r="P48" s="349">
        <f>'2-27'!W14</f>
        <v>4.4000000000000004</v>
      </c>
      <c r="Q48" s="308" t="s">
        <v>469</v>
      </c>
      <c r="R48" s="308">
        <f>R45</f>
        <v>250</v>
      </c>
      <c r="S48" s="308" t="s">
        <v>468</v>
      </c>
      <c r="T48" s="308">
        <f>SUM(P48*R48)</f>
        <v>1100</v>
      </c>
    </row>
    <row r="49" spans="3:22" ht="15.75" customHeight="1" thickBot="1" x14ac:dyDescent="0.3">
      <c r="C49" s="106" t="s">
        <v>171</v>
      </c>
      <c r="D49" s="106" t="s">
        <v>174</v>
      </c>
      <c r="J49" s="3" t="s">
        <v>380</v>
      </c>
      <c r="K49" s="3" t="s">
        <v>380</v>
      </c>
      <c r="M49" s="14">
        <f>SUM(M43:M48)</f>
        <v>4750</v>
      </c>
      <c r="N49" s="6"/>
      <c r="P49" s="358" t="str">
        <f>CONCATENATE("Note: See calculation of ",TEXT(P48,"$#,##0.00")," on next sheet.")</f>
        <v>Note: See calculation of $4.40 on next sheet.</v>
      </c>
      <c r="Q49" s="358"/>
      <c r="R49" s="358"/>
      <c r="S49" s="358"/>
      <c r="T49" s="358"/>
      <c r="U49" s="358"/>
      <c r="V49" s="358"/>
    </row>
    <row r="50" spans="3:22" ht="9.75" customHeight="1" thickTop="1" x14ac:dyDescent="0.25">
      <c r="P50" s="358"/>
      <c r="Q50" s="358"/>
      <c r="R50" s="358"/>
      <c r="S50" s="358"/>
      <c r="T50" s="358"/>
      <c r="U50" s="358"/>
      <c r="V50" s="358"/>
    </row>
    <row r="51" spans="3:22" ht="15" customHeight="1" x14ac:dyDescent="0.25"/>
    <row r="52" spans="3:22" ht="15" customHeight="1" x14ac:dyDescent="0.25"/>
    <row r="53" spans="3:22" ht="15" customHeight="1" x14ac:dyDescent="0.25"/>
    <row r="54" spans="3:22" ht="15" customHeight="1" x14ac:dyDescent="0.25"/>
    <row r="55" spans="3:22" ht="15" customHeight="1" x14ac:dyDescent="0.25"/>
    <row r="56" spans="3:22" ht="15" customHeight="1" x14ac:dyDescent="0.25"/>
    <row r="57" spans="3:22" ht="15" customHeight="1" x14ac:dyDescent="0.25"/>
    <row r="58" spans="3:22" ht="15" customHeight="1" x14ac:dyDescent="0.25"/>
    <row r="59" spans="3:22" ht="15" customHeight="1" x14ac:dyDescent="0.25"/>
    <row r="60" spans="3:22" ht="15" customHeight="1" x14ac:dyDescent="0.25"/>
    <row r="61" spans="3:22" ht="15" customHeight="1" x14ac:dyDescent="0.25"/>
    <row r="62" spans="3:22" ht="15" customHeight="1" x14ac:dyDescent="0.25"/>
    <row r="63" spans="3:22" ht="15" customHeight="1" x14ac:dyDescent="0.25"/>
    <row r="64" spans="3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customSheetViews>
    <customSheetView guid="{C95BCE97-951E-4C98-84AE-A423A99BB34B}" showPageBreaks="1" fitToPage="1" printArea="1">
      <selection activeCell="T49" sqref="T49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selection activeCell="F11" sqref="F11"/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22">
      <selection activeCell="Q33" sqref="Q33"/>
      <pageMargins left="1" right="0.5" top="0.85" bottom="0.8" header="0.5" footer="0.35"/>
      <printOptions horizontalCentered="1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30">
      <selection activeCell="F11" sqref="F11"/>
      <pageMargins left="1" right="0.5" top="0.85" bottom="0.8" header="0.5" footer="0.35"/>
      <pageSetup scale="91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5">
    <mergeCell ref="P5:Q5"/>
    <mergeCell ref="P4:Q4"/>
    <mergeCell ref="P49:V50"/>
    <mergeCell ref="P17:R18"/>
    <mergeCell ref="T17:V18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  <ignoredErrors>
    <ignoredError sqref="M17 M49" emptyCellReference="1"/>
    <ignoredError sqref="K47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7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4" width="2.7109375" style="3" customWidth="1"/>
    <col min="5" max="5" width="9.140625" style="3"/>
    <col min="6" max="7" width="10.7109375" style="3" customWidth="1"/>
    <col min="8" max="8" width="16" style="3" customWidth="1"/>
    <col min="9" max="9" width="4.28515625" style="3" customWidth="1"/>
    <col min="10" max="10" width="2.42578125" style="3" customWidth="1"/>
    <col min="11" max="11" width="9.42578125" style="3" customWidth="1"/>
    <col min="12" max="12" width="3.85546875" style="3" customWidth="1"/>
    <col min="13" max="13" width="14.42578125" style="3" bestFit="1" customWidth="1"/>
    <col min="14" max="14" width="5.28515625" style="3" customWidth="1"/>
    <col min="15" max="15" width="9.140625" style="3"/>
    <col min="16" max="16" width="9.42578125" style="3" bestFit="1" customWidth="1"/>
    <col min="17" max="17" width="10.28515625" style="300" hidden="1" customWidth="1"/>
    <col min="18" max="18" width="2.7109375" style="300" hidden="1" customWidth="1"/>
    <col min="19" max="19" width="0" style="300" hidden="1" customWidth="1"/>
    <col min="20" max="20" width="2.7109375" style="300" hidden="1" customWidth="1"/>
    <col min="21" max="21" width="0" style="300" hidden="1" customWidth="1"/>
    <col min="22" max="22" width="2.7109375" style="300" hidden="1" customWidth="1"/>
    <col min="23" max="23" width="0" style="300" hidden="1" customWidth="1"/>
    <col min="24" max="24" width="2.7109375" style="300" hidden="1" customWidth="1"/>
    <col min="25" max="25" width="0" style="300" hidden="1" customWidth="1"/>
    <col min="26" max="26" width="9.140625" style="224"/>
    <col min="27" max="16384" width="9.140625" style="3"/>
  </cols>
  <sheetData>
    <row r="1" spans="2:23" ht="30" customHeight="1" x14ac:dyDescent="0.25"/>
    <row r="2" spans="2:23" ht="15.75" customHeight="1" x14ac:dyDescent="0.25">
      <c r="B2" s="6" t="s">
        <v>606</v>
      </c>
    </row>
    <row r="3" spans="2:23" ht="15.75" customHeight="1" x14ac:dyDescent="0.25">
      <c r="C3" s="3" t="s">
        <v>379</v>
      </c>
    </row>
    <row r="4" spans="2:23" ht="15.75" customHeight="1" x14ac:dyDescent="0.25">
      <c r="C4" s="104" t="s">
        <v>50</v>
      </c>
      <c r="D4" s="104"/>
      <c r="E4" s="104"/>
      <c r="J4" s="3" t="s">
        <v>380</v>
      </c>
      <c r="K4" s="5" t="s">
        <v>380</v>
      </c>
      <c r="L4" s="5"/>
      <c r="M4" s="5">
        <f>'2-26'!K34</f>
        <v>1000</v>
      </c>
    </row>
    <row r="5" spans="2:23" ht="5.0999999999999996" customHeight="1" x14ac:dyDescent="0.25">
      <c r="C5" s="104"/>
      <c r="D5" s="104"/>
      <c r="E5" s="104"/>
      <c r="K5" s="5"/>
      <c r="L5" s="5"/>
      <c r="M5" s="5"/>
    </row>
    <row r="6" spans="2:23" ht="15.75" customHeight="1" x14ac:dyDescent="0.25">
      <c r="C6" s="104" t="s">
        <v>395</v>
      </c>
      <c r="D6" s="104"/>
      <c r="E6" s="104"/>
      <c r="K6" s="5"/>
      <c r="L6" s="5"/>
      <c r="M6" s="5"/>
    </row>
    <row r="7" spans="2:23" ht="15.75" customHeight="1" x14ac:dyDescent="0.25">
      <c r="C7" s="106" t="str">
        <f>CONCATENATE("Power (",TEXT(Q7,"$#,##0"),R7,TEXT(S7,"#,##0"),")…………………………………………………………………………………………………………………………………………………………………….",)</f>
        <v>Power ($1 × 100)…………………………………………………………………………………………………………………………………………………………………….</v>
      </c>
      <c r="D7" s="104"/>
      <c r="E7" s="104"/>
      <c r="J7" s="3" t="s">
        <v>380</v>
      </c>
      <c r="K7" s="5">
        <f>U7</f>
        <v>100</v>
      </c>
      <c r="L7" s="5"/>
      <c r="M7" s="5"/>
      <c r="Q7" s="308">
        <v>1</v>
      </c>
      <c r="R7" s="308" t="s">
        <v>469</v>
      </c>
      <c r="S7" s="308">
        <v>100</v>
      </c>
      <c r="T7" s="308" t="s">
        <v>468</v>
      </c>
      <c r="U7" s="308">
        <f>SUM(Q7*S7)</f>
        <v>100</v>
      </c>
    </row>
    <row r="8" spans="2:23" ht="15.75" customHeight="1" x14ac:dyDescent="0.25">
      <c r="C8" s="106" t="str">
        <f>CONCATENATE("Depreciation (",TEXT(Q8,"$#,##0"),R8,TEXT(S8,"#,##0"),")…………………………………………………………………………………………………………………………………………………………………….",)</f>
        <v>Depreciation ($2 × 100)…………………………………………………………………………………………………………………………………………………………………….</v>
      </c>
      <c r="D8" s="104"/>
      <c r="E8" s="104"/>
      <c r="J8" s="3" t="s">
        <v>380</v>
      </c>
      <c r="K8" s="13">
        <f>U8</f>
        <v>200</v>
      </c>
      <c r="Q8" s="308">
        <v>2</v>
      </c>
      <c r="R8" s="308" t="s">
        <v>469</v>
      </c>
      <c r="S8" s="308">
        <f>S7</f>
        <v>100</v>
      </c>
      <c r="T8" s="308" t="s">
        <v>468</v>
      </c>
      <c r="U8" s="308">
        <f>SUM(Q8*S8)</f>
        <v>200</v>
      </c>
    </row>
    <row r="9" spans="2:23" ht="15.75" customHeight="1" x14ac:dyDescent="0.25">
      <c r="C9" s="106" t="str">
        <f>CONCATENATE("Setups (",Q9,R9,S9,T9,TEXT(U9,"$#,##0"),")……………………………………………………………………………………………………………………………………………………….")</f>
        <v>Setups (1/3 × $600)……………………………………………………………………………………………………………………………………………………….</v>
      </c>
      <c r="D9" s="104"/>
      <c r="E9" s="104"/>
      <c r="J9" s="3" t="s">
        <v>380</v>
      </c>
      <c r="K9" s="13">
        <f>W9</f>
        <v>200</v>
      </c>
      <c r="Q9" s="308">
        <v>1</v>
      </c>
      <c r="R9" s="321" t="s">
        <v>495</v>
      </c>
      <c r="S9" s="308">
        <v>3</v>
      </c>
      <c r="T9" s="308" t="s">
        <v>469</v>
      </c>
      <c r="U9" s="308">
        <f>'2-26'!P14</f>
        <v>600</v>
      </c>
      <c r="V9" s="308" t="s">
        <v>468</v>
      </c>
      <c r="W9" s="308">
        <f>SUM(Q9/S9*U9)</f>
        <v>200</v>
      </c>
    </row>
    <row r="10" spans="2:23" ht="15.75" customHeight="1" x14ac:dyDescent="0.25">
      <c r="C10" s="106" t="str">
        <f>CONCATENATE("Rent and insurance (",TEXT(Q10,"$#,##0.00"),R10,TEXT(S10,"#,##0")," DLH)*……………………………………………………………………………………………………………………………………………………………………")</f>
        <v>Rent and insurance ($4.40 × 100 DLH)*……………………………………………………………………………………………………………………………………………………………………</v>
      </c>
      <c r="D10" s="104"/>
      <c r="E10" s="104"/>
      <c r="J10" s="3" t="s">
        <v>380</v>
      </c>
      <c r="K10" s="15">
        <f>U10</f>
        <v>440.00000000000006</v>
      </c>
      <c r="M10" s="15">
        <f>SUM(K7:K10)</f>
        <v>940</v>
      </c>
      <c r="Q10" s="349">
        <v>4.4000000000000004</v>
      </c>
      <c r="R10" s="308" t="s">
        <v>469</v>
      </c>
      <c r="S10" s="308">
        <f>S7</f>
        <v>100</v>
      </c>
      <c r="T10" s="308" t="s">
        <v>468</v>
      </c>
      <c r="U10" s="308">
        <f>SUM(Q10*S10)</f>
        <v>440.00000000000006</v>
      </c>
    </row>
    <row r="11" spans="2:23" ht="15.75" customHeight="1" thickBot="1" x14ac:dyDescent="0.3">
      <c r="C11" s="107" t="s">
        <v>174</v>
      </c>
      <c r="D11" s="104"/>
      <c r="E11" s="104"/>
      <c r="J11" s="3" t="s">
        <v>380</v>
      </c>
      <c r="K11" s="3" t="s">
        <v>380</v>
      </c>
      <c r="M11" s="14">
        <f>SUM(M4:M10)</f>
        <v>1940</v>
      </c>
    </row>
    <row r="12" spans="2:23" ht="5.0999999999999996" customHeight="1" thickTop="1" x14ac:dyDescent="0.25"/>
    <row r="13" spans="2:23" ht="14.1" customHeight="1" x14ac:dyDescent="0.25">
      <c r="B13" s="32" t="s">
        <v>366</v>
      </c>
      <c r="C13" s="2" t="s">
        <v>607</v>
      </c>
      <c r="Q13" s="359" t="s">
        <v>830</v>
      </c>
      <c r="S13" s="359" t="s">
        <v>831</v>
      </c>
    </row>
    <row r="14" spans="2:23" ht="14.1" customHeight="1" x14ac:dyDescent="0.25">
      <c r="C14" s="2" t="str">
        <f>CONCATENATE("labor hours:  ",TEXT((Q14+S14),"$#,##0"),T14,TEXT(U14,"#,##0")," DLH",V14,TEXT(W14,"$#,##0.00")," per direct labor hour. The other overhead costs are traced ")</f>
        <v xml:space="preserve">labor hours:  $1,540/350 DLH = $4.40 per direct labor hour. The other overhead costs are traced </v>
      </c>
      <c r="Q14" s="308">
        <f>'2-26'!K12</f>
        <v>1400</v>
      </c>
      <c r="R14" s="308" t="s">
        <v>467</v>
      </c>
      <c r="S14" s="308">
        <f>'2-26'!K15</f>
        <v>140</v>
      </c>
      <c r="T14" s="308" t="s">
        <v>495</v>
      </c>
      <c r="U14" s="308">
        <f>'2-26'!X20</f>
        <v>350</v>
      </c>
      <c r="V14" s="308" t="s">
        <v>468</v>
      </c>
      <c r="W14" s="349">
        <f>SUM((Q14+S14)/U14)</f>
        <v>4.4000000000000004</v>
      </c>
    </row>
    <row r="15" spans="2:23" ht="14.1" customHeight="1" x14ac:dyDescent="0.25">
      <c r="C15" s="2" t="str">
        <f>CONCATENATE("according to their usage. Depreciation and power are assigned by using machine hours (",TEXT(Q17,"#,##0"),)</f>
        <v>according to their usage. Depreciation and power are assigned by using machine hours (250</v>
      </c>
    </row>
    <row r="16" spans="2:23" ht="14.1" customHeight="1" x14ac:dyDescent="0.25">
      <c r="C16" s="2" t="str">
        <f>CONCATENATE("for magazines and ",TEXT(S17,"#,##0")," for brochures); ",TEXT((Q17+S17),"$#,##0"),T17,TEXT(U17,"#,##0"),V17,TEXT(W17,"$#,##0.00")," per machine hour for power and ")</f>
        <v xml:space="preserve">for magazines and 100 for brochures); $350/350 = $1.00 per machine hour for power and </v>
      </c>
      <c r="P16" s="6"/>
      <c r="Q16" s="359" t="s">
        <v>824</v>
      </c>
      <c r="S16" s="359" t="s">
        <v>825</v>
      </c>
    </row>
    <row r="17" spans="2:25" ht="14.1" customHeight="1" x14ac:dyDescent="0.25">
      <c r="C17" s="2" t="str">
        <f>CONCATENATE(,TEXT(Q18,"$#,##0"),R18,TEXT(S18,"#,##0"),T18,TEXT(U18,"$#,##0.00")," per machine hour for depreciation. Setups are assigned according to the")</f>
        <v>$40,000/20,000 = $2.00 per machine hour for depreciation. Setups are assigned according to the</v>
      </c>
      <c r="Q17" s="308">
        <f>'2-26'!R45</f>
        <v>250</v>
      </c>
      <c r="R17" s="308" t="s">
        <v>467</v>
      </c>
      <c r="S17" s="308">
        <f>S7</f>
        <v>100</v>
      </c>
      <c r="T17" s="308" t="s">
        <v>495</v>
      </c>
      <c r="U17" s="308">
        <f>U14</f>
        <v>350</v>
      </c>
      <c r="V17" s="308" t="s">
        <v>468</v>
      </c>
      <c r="W17" s="349">
        <f>SUM((Q17+S17)/U17)</f>
        <v>1</v>
      </c>
    </row>
    <row r="18" spans="2:25" ht="14.1" customHeight="1" x14ac:dyDescent="0.25">
      <c r="C18" s="2" t="s">
        <v>608</v>
      </c>
      <c r="Q18" s="308">
        <f>'2-26'!P13</f>
        <v>40000</v>
      </c>
      <c r="R18" s="308" t="s">
        <v>495</v>
      </c>
      <c r="S18" s="308">
        <f>'2-26'!R13</f>
        <v>20000</v>
      </c>
      <c r="T18" s="308" t="s">
        <v>468</v>
      </c>
      <c r="U18" s="349">
        <f>SUM(Q18/S18)</f>
        <v>2</v>
      </c>
    </row>
    <row r="19" spans="2:25" ht="14.1" customHeight="1" x14ac:dyDescent="0.25">
      <c r="C19" s="2" t="str">
        <f>CONCATENATE("the proportion of setup time used for brochures, ",'2-26'!P46,"X + X = 1 implies a cost assignment ratio of ",)</f>
        <v xml:space="preserve">the proportion of setup time used for brochures, 2X + X = 1 implies a cost assignment ratio of </v>
      </c>
    </row>
    <row r="20" spans="2:25" ht="14.1" customHeight="1" x14ac:dyDescent="0.25">
      <c r="C20" s="2" t="str">
        <f>CONCATENATE(TEXT('2-26'!P46/('2-26'!P46+'2-26'!P45),"#/#")," for magazines and ",TEXT('2-26'!P45/('2-26'!P46+'2-26'!P45),"#/#"), " for brochures.")</f>
        <v>2/3 for magazines and 1/3 for brochures.</v>
      </c>
    </row>
    <row r="21" spans="2:25" ht="9.75" customHeight="1" x14ac:dyDescent="0.25"/>
    <row r="22" spans="2:25" ht="15.75" customHeight="1" x14ac:dyDescent="0.25">
      <c r="B22" s="10" t="s">
        <v>357</v>
      </c>
      <c r="C22" s="3" t="str">
        <f>CONCATENATE("Sales [(",TEXT(Q22,"#,##0"),R22,TEXT(S22,"$#,##0.00"),")",T22,"(",TEXT(U22,"#,##0"),V22,TEXT(W22,"$#,##0.00"),")]………………………………………………..…………………………………..…………………………………..…………………………..…")</f>
        <v>Sales [(5,000 × $1.80) + (10,000 × $0.45)]………………………………………………..…………………………………..…………………………………..…………………………..…</v>
      </c>
      <c r="J22" s="3" t="s">
        <v>380</v>
      </c>
      <c r="K22" s="285"/>
      <c r="L22" s="285"/>
      <c r="M22" s="5">
        <f>Y22</f>
        <v>13500</v>
      </c>
      <c r="Q22" s="308">
        <f>'2-26'!R4</f>
        <v>5000</v>
      </c>
      <c r="R22" s="308" t="s">
        <v>469</v>
      </c>
      <c r="S22" s="349">
        <v>1.8</v>
      </c>
      <c r="T22" s="308" t="s">
        <v>467</v>
      </c>
      <c r="U22" s="308">
        <f>'2-26'!P9</f>
        <v>10000</v>
      </c>
      <c r="V22" s="308" t="s">
        <v>469</v>
      </c>
      <c r="W22" s="349">
        <v>0.45</v>
      </c>
      <c r="X22" s="308" t="s">
        <v>468</v>
      </c>
      <c r="Y22" s="308">
        <f>SUM(Q22*S22)+(U22*W22)</f>
        <v>13500</v>
      </c>
    </row>
    <row r="23" spans="2:25" ht="15.75" customHeight="1" x14ac:dyDescent="0.25">
      <c r="C23" s="3" t="s">
        <v>373</v>
      </c>
      <c r="J23" s="3" t="s">
        <v>380</v>
      </c>
      <c r="K23" s="285"/>
      <c r="L23" s="285"/>
      <c r="M23" s="15">
        <f>Q23</f>
        <v>9490</v>
      </c>
      <c r="Q23" s="308">
        <f>'2-26'!M17</f>
        <v>9490</v>
      </c>
    </row>
    <row r="24" spans="2:25" ht="15.75" customHeight="1" x14ac:dyDescent="0.25">
      <c r="C24" s="3" t="s">
        <v>372</v>
      </c>
      <c r="J24" s="3" t="s">
        <v>380</v>
      </c>
      <c r="K24" s="285"/>
      <c r="L24" s="285"/>
      <c r="M24" s="175">
        <f>M22-M23</f>
        <v>4010</v>
      </c>
    </row>
    <row r="25" spans="2:25" ht="5.0999999999999996" customHeight="1" x14ac:dyDescent="0.25">
      <c r="K25" s="66"/>
      <c r="L25" s="66"/>
      <c r="M25" s="152"/>
    </row>
    <row r="26" spans="2:25" ht="15.75" customHeight="1" x14ac:dyDescent="0.25">
      <c r="C26" s="3" t="s">
        <v>362</v>
      </c>
      <c r="M26" s="6"/>
    </row>
    <row r="27" spans="2:25" ht="15.75" customHeight="1" x14ac:dyDescent="0.25">
      <c r="C27" s="104" t="s">
        <v>370</v>
      </c>
      <c r="J27" s="3" t="s">
        <v>380</v>
      </c>
      <c r="K27" s="84">
        <f>Q27</f>
        <v>500</v>
      </c>
      <c r="L27" s="50" t="s">
        <v>374</v>
      </c>
      <c r="Q27" s="308">
        <v>500</v>
      </c>
    </row>
    <row r="28" spans="2:25" ht="15.75" customHeight="1" x14ac:dyDescent="0.25">
      <c r="C28" s="104" t="s">
        <v>371</v>
      </c>
      <c r="J28" s="3" t="s">
        <v>380</v>
      </c>
      <c r="K28" s="85">
        <f>Q28</f>
        <v>1500</v>
      </c>
      <c r="L28" s="50" t="s">
        <v>197</v>
      </c>
      <c r="M28" s="15">
        <f>SUM(K27:K28)</f>
        <v>2000</v>
      </c>
      <c r="Q28" s="308">
        <v>1500</v>
      </c>
    </row>
    <row r="29" spans="2:25" ht="15.75" customHeight="1" thickBot="1" x14ac:dyDescent="0.3">
      <c r="C29" s="3" t="s">
        <v>369</v>
      </c>
      <c r="J29" s="3" t="s">
        <v>380</v>
      </c>
      <c r="K29" s="285"/>
      <c r="L29" s="285"/>
      <c r="M29" s="76">
        <f>M24-M28</f>
        <v>2010</v>
      </c>
    </row>
    <row r="30" spans="2:25" ht="5.0999999999999996" customHeight="1" thickTop="1" x14ac:dyDescent="0.25"/>
    <row r="31" spans="2:25" ht="14.1" customHeight="1" x14ac:dyDescent="0.25">
      <c r="B31" s="32" t="s">
        <v>374</v>
      </c>
      <c r="C31" s="2" t="s">
        <v>175</v>
      </c>
      <c r="D31" s="2"/>
    </row>
    <row r="32" spans="2:25" ht="5.0999999999999996" customHeight="1" x14ac:dyDescent="0.25">
      <c r="C32" s="2"/>
      <c r="D32" s="2"/>
    </row>
    <row r="33" spans="2:4" ht="14.1" customHeight="1" x14ac:dyDescent="0.25">
      <c r="B33" s="32" t="s">
        <v>197</v>
      </c>
      <c r="C33" s="2" t="s">
        <v>609</v>
      </c>
      <c r="D33" s="2"/>
    </row>
    <row r="34" spans="2:4" ht="14.1" customHeight="1" x14ac:dyDescent="0.25">
      <c r="C34" s="2" t="s">
        <v>610</v>
      </c>
      <c r="D34" s="2"/>
    </row>
    <row r="35" spans="2:4" ht="14.1" customHeight="1" x14ac:dyDescent="0.25">
      <c r="C35" s="2" t="s">
        <v>611</v>
      </c>
      <c r="D35" s="2"/>
    </row>
    <row r="36" spans="2:4" ht="5.0999999999999996" customHeight="1" x14ac:dyDescent="0.25"/>
    <row r="37" spans="2:4" ht="15" customHeight="1" x14ac:dyDescent="0.25"/>
    <row r="38" spans="2:4" ht="15" customHeight="1" x14ac:dyDescent="0.25"/>
    <row r="39" spans="2:4" ht="15" customHeight="1" x14ac:dyDescent="0.25"/>
    <row r="40" spans="2:4" ht="15" customHeight="1" x14ac:dyDescent="0.25"/>
    <row r="41" spans="2:4" ht="15" customHeight="1" x14ac:dyDescent="0.25"/>
    <row r="42" spans="2:4" ht="15" customHeight="1" x14ac:dyDescent="0.25"/>
    <row r="43" spans="2:4" ht="15" customHeight="1" x14ac:dyDescent="0.25"/>
    <row r="44" spans="2:4" ht="15" customHeight="1" x14ac:dyDescent="0.25"/>
    <row r="45" spans="2:4" ht="15" customHeight="1" x14ac:dyDescent="0.25"/>
    <row r="46" spans="2:4" ht="15" customHeight="1" x14ac:dyDescent="0.25"/>
    <row r="47" spans="2:4" ht="15" customHeight="1" x14ac:dyDescent="0.25"/>
    <row r="48" spans="2: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customSheetViews>
    <customSheetView guid="{C95BCE97-951E-4C98-84AE-A423A99BB34B}" showPageBreaks="1" fitToPage="1" printArea="1" topLeftCell="A10">
      <selection activeCell="N44" sqref="N44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10">
      <selection activeCell="N44" sqref="N44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31">
      <selection activeCell="K23" sqref="K23"/>
      <pageMargins left="0.5" right="1" top="0.85" bottom="0.8" header="0.5" footer="0.35"/>
      <pageSetup scale="94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4">
    <mergeCell ref="K22:L22"/>
    <mergeCell ref="K23:L23"/>
    <mergeCell ref="K24:L24"/>
    <mergeCell ref="K29:L29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  <ignoredErrors>
    <ignoredError sqref="M11" emptyCellReferenc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5" width="10.7109375" style="3" customWidth="1"/>
    <col min="6" max="6" width="11.28515625" style="3" customWidth="1"/>
    <col min="7" max="7" width="28.85546875" style="3" customWidth="1"/>
    <col min="8" max="8" width="2.42578125" style="3" customWidth="1"/>
    <col min="9" max="10" width="12.7109375" style="3" customWidth="1"/>
    <col min="11" max="11" width="3" style="3" customWidth="1"/>
    <col min="12" max="12" width="11.140625" style="3" customWidth="1"/>
    <col min="13" max="13" width="9.140625" style="3"/>
    <col min="14" max="14" width="0" style="297" hidden="1" customWidth="1"/>
    <col min="15" max="15" width="6" style="297" hidden="1" customWidth="1"/>
    <col min="16" max="16" width="11.28515625" style="318" hidden="1" customWidth="1"/>
    <col min="17" max="16384" width="9.140625" style="3"/>
  </cols>
  <sheetData>
    <row r="1" spans="2:17" ht="30" customHeight="1" x14ac:dyDescent="0.25">
      <c r="M1" s="6"/>
      <c r="Q1" s="6"/>
    </row>
    <row r="2" spans="2:17" ht="15.75" customHeight="1" x14ac:dyDescent="0.25">
      <c r="B2" s="54" t="s">
        <v>421</v>
      </c>
      <c r="D2" s="54"/>
      <c r="M2" s="6"/>
      <c r="Q2" s="6"/>
    </row>
    <row r="3" spans="2:17" ht="15.75" customHeight="1" x14ac:dyDescent="0.25">
      <c r="B3" s="10" t="s">
        <v>354</v>
      </c>
      <c r="C3" s="30" t="s">
        <v>210</v>
      </c>
      <c r="M3" s="6"/>
      <c r="N3" s="298"/>
      <c r="O3" s="298"/>
      <c r="Q3" s="6"/>
    </row>
    <row r="4" spans="2:17" ht="15.75" customHeight="1" x14ac:dyDescent="0.25">
      <c r="C4" s="30" t="s">
        <v>211</v>
      </c>
      <c r="M4" s="6"/>
      <c r="N4" s="316" t="s">
        <v>832</v>
      </c>
      <c r="O4" s="316"/>
      <c r="P4" s="308">
        <v>20000</v>
      </c>
      <c r="Q4" s="6"/>
    </row>
    <row r="5" spans="2:17" ht="15.75" customHeight="1" x14ac:dyDescent="0.25">
      <c r="C5" s="3" t="s">
        <v>212</v>
      </c>
      <c r="M5" s="6"/>
      <c r="N5" s="316" t="s">
        <v>833</v>
      </c>
      <c r="O5" s="316"/>
      <c r="P5" s="308">
        <v>7000</v>
      </c>
      <c r="Q5" s="6"/>
    </row>
    <row r="6" spans="2:17" ht="15.75" customHeight="1" x14ac:dyDescent="0.25">
      <c r="C6" s="3" t="s">
        <v>213</v>
      </c>
      <c r="M6" s="6"/>
      <c r="N6" s="316" t="s">
        <v>834</v>
      </c>
      <c r="O6" s="316"/>
      <c r="P6" s="308">
        <v>14300</v>
      </c>
      <c r="Q6" s="6"/>
    </row>
    <row r="7" spans="2:17" ht="15.75" customHeight="1" x14ac:dyDescent="0.25">
      <c r="C7" s="3" t="s">
        <v>214</v>
      </c>
      <c r="M7" s="6"/>
      <c r="Q7" s="6"/>
    </row>
    <row r="8" spans="2:17" ht="9.75" customHeight="1" x14ac:dyDescent="0.25">
      <c r="M8" s="6"/>
      <c r="Q8" s="6"/>
    </row>
    <row r="9" spans="2:17" ht="15.75" customHeight="1" x14ac:dyDescent="0.25">
      <c r="B9" s="10" t="s">
        <v>355</v>
      </c>
      <c r="C9" s="3" t="s">
        <v>441</v>
      </c>
      <c r="H9" s="3" t="s">
        <v>380</v>
      </c>
      <c r="I9" s="82">
        <f>P4</f>
        <v>20000</v>
      </c>
    </row>
    <row r="10" spans="2:17" ht="15.75" customHeight="1" x14ac:dyDescent="0.25">
      <c r="C10" s="3" t="s">
        <v>706</v>
      </c>
      <c r="H10" s="3" t="s">
        <v>380</v>
      </c>
      <c r="I10" s="46">
        <f>-P5</f>
        <v>-7000</v>
      </c>
    </row>
    <row r="11" spans="2:17" ht="15.75" customHeight="1" x14ac:dyDescent="0.25">
      <c r="C11" s="3" t="s">
        <v>442</v>
      </c>
      <c r="H11" s="3" t="s">
        <v>380</v>
      </c>
      <c r="I11" s="46">
        <f>-P6</f>
        <v>-14300</v>
      </c>
    </row>
    <row r="12" spans="2:17" ht="15.75" customHeight="1" thickBot="1" x14ac:dyDescent="0.3">
      <c r="C12" s="104" t="s">
        <v>443</v>
      </c>
      <c r="H12" s="3" t="s">
        <v>380</v>
      </c>
      <c r="I12" s="167">
        <f>SUM(I9:I11)</f>
        <v>-1300</v>
      </c>
    </row>
    <row r="13" spans="2:17" ht="9.75" customHeight="1" thickTop="1" x14ac:dyDescent="0.25"/>
    <row r="14" spans="2:17" ht="15.75" customHeight="1" x14ac:dyDescent="0.25">
      <c r="C14" s="30" t="s">
        <v>215</v>
      </c>
      <c r="K14" s="54"/>
    </row>
    <row r="15" spans="2:17" ht="15.75" customHeight="1" x14ac:dyDescent="0.25">
      <c r="C15" s="30" t="s">
        <v>216</v>
      </c>
    </row>
    <row r="16" spans="2:17" ht="15.75" customHeight="1" x14ac:dyDescent="0.25">
      <c r="C16" s="30" t="s">
        <v>217</v>
      </c>
    </row>
    <row r="17" spans="3:3" ht="15.75" customHeight="1" x14ac:dyDescent="0.25">
      <c r="C17" s="30" t="s">
        <v>375</v>
      </c>
    </row>
    <row r="18" spans="3:3" ht="15.75" customHeight="1" x14ac:dyDescent="0.25">
      <c r="C18" s="3" t="s">
        <v>461</v>
      </c>
    </row>
    <row r="19" spans="3:3" ht="15.75" customHeight="1" x14ac:dyDescent="0.25">
      <c r="C19" s="3" t="s">
        <v>462</v>
      </c>
    </row>
    <row r="20" spans="3:3" ht="15.75" customHeight="1" x14ac:dyDescent="0.25">
      <c r="C20" s="3" t="s">
        <v>463</v>
      </c>
    </row>
    <row r="21" spans="3:3" ht="9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</sheetData>
  <customSheetViews>
    <customSheetView guid="{C95BCE97-951E-4C98-84AE-A423A99BB34B}" showPageBreaks="1" fitToPage="1" printArea="1"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G12" sqref="G12"/>
      <pageMargins left="1" right="0.5" top="0.85" bottom="0.8" header="0.5" footer="0.35"/>
      <printOptions horizontalCentered="1"/>
      <pageSetup scale="93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3">
    <mergeCell ref="N4:O4"/>
    <mergeCell ref="N5:O5"/>
    <mergeCell ref="N6:O6"/>
  </mergeCells>
  <phoneticPr fontId="11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8"/>
  <sheetViews>
    <sheetView zoomScale="70" zoomScaleNormal="70" workbookViewId="0">
      <selection activeCell="C1" sqref="C1"/>
    </sheetView>
  </sheetViews>
  <sheetFormatPr defaultRowHeight="15.75" x14ac:dyDescent="0.25"/>
  <cols>
    <col min="1" max="1" width="2.28515625" style="3" customWidth="1"/>
    <col min="2" max="2" width="4.140625" style="3" customWidth="1"/>
    <col min="3" max="3" width="5.28515625" style="3" customWidth="1"/>
    <col min="4" max="4" width="9.140625" style="3"/>
    <col min="5" max="6" width="6.28515625" style="3" customWidth="1"/>
    <col min="7" max="7" width="6" style="3" customWidth="1"/>
    <col min="8" max="8" width="1.85546875" style="3" customWidth="1"/>
    <col min="9" max="9" width="7.7109375" style="3" customWidth="1"/>
    <col min="10" max="10" width="1.5703125" style="3" customWidth="1"/>
    <col min="11" max="11" width="14.140625" style="3" customWidth="1"/>
    <col min="12" max="12" width="4.140625" style="3" customWidth="1"/>
    <col min="13" max="13" width="1.5703125" style="3" customWidth="1"/>
    <col min="14" max="14" width="14.7109375" style="3" customWidth="1"/>
    <col min="15" max="16" width="9.140625" style="3"/>
    <col min="17" max="17" width="10.42578125" style="300" hidden="1" customWidth="1"/>
    <col min="18" max="18" width="2.7109375" style="300" hidden="1" customWidth="1"/>
    <col min="19" max="19" width="0" style="300" hidden="1" customWidth="1"/>
    <col min="20" max="20" width="2.7109375" style="300" hidden="1" customWidth="1"/>
    <col min="21" max="21" width="0" style="300" hidden="1" customWidth="1"/>
    <col min="22" max="22" width="2.7109375" style="225" customWidth="1"/>
    <col min="23" max="23" width="9.140625" style="3"/>
    <col min="24" max="24" width="2.7109375" style="3" customWidth="1"/>
    <col min="25" max="16384" width="9.140625" style="3"/>
  </cols>
  <sheetData>
    <row r="1" spans="2:22" ht="30" customHeight="1" x14ac:dyDescent="0.25"/>
    <row r="2" spans="2:22" ht="15.75" customHeight="1" x14ac:dyDescent="0.25">
      <c r="B2" s="248" t="s">
        <v>464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4"/>
    </row>
    <row r="3" spans="2:22" ht="15.75" customHeight="1" x14ac:dyDescent="0.25"/>
    <row r="4" spans="2:22" ht="15.75" customHeight="1" x14ac:dyDescent="0.25">
      <c r="B4" s="54" t="s">
        <v>422</v>
      </c>
      <c r="D4" s="54"/>
    </row>
    <row r="5" spans="2:22" ht="15.75" customHeight="1" thickBot="1" x14ac:dyDescent="0.3">
      <c r="B5" s="10" t="s">
        <v>354</v>
      </c>
      <c r="C5" s="255" t="s">
        <v>465</v>
      </c>
      <c r="D5" s="255"/>
      <c r="E5" s="255"/>
      <c r="F5" s="255"/>
      <c r="I5" s="255" t="s">
        <v>335</v>
      </c>
      <c r="J5" s="255"/>
      <c r="K5" s="255"/>
      <c r="M5" s="255" t="s">
        <v>336</v>
      </c>
      <c r="N5" s="255"/>
      <c r="O5" s="41"/>
    </row>
    <row r="6" spans="2:22" ht="5.0999999999999996" customHeight="1" x14ac:dyDescent="0.25"/>
    <row r="7" spans="2:22" ht="15.75" customHeight="1" x14ac:dyDescent="0.25">
      <c r="C7" s="3" t="s">
        <v>466</v>
      </c>
      <c r="D7" s="3" t="s">
        <v>397</v>
      </c>
      <c r="I7" s="54" t="s">
        <v>404</v>
      </c>
      <c r="J7" s="54"/>
      <c r="M7" s="285" t="s">
        <v>240</v>
      </c>
      <c r="N7" s="285"/>
    </row>
    <row r="8" spans="2:22" ht="15.75" customHeight="1" x14ac:dyDescent="0.25">
      <c r="C8" s="3" t="s">
        <v>466</v>
      </c>
      <c r="D8" s="3" t="s">
        <v>398</v>
      </c>
      <c r="I8" s="3" t="s">
        <v>405</v>
      </c>
      <c r="M8" s="285" t="s">
        <v>237</v>
      </c>
      <c r="N8" s="285"/>
    </row>
    <row r="9" spans="2:22" ht="15.75" customHeight="1" x14ac:dyDescent="0.25">
      <c r="C9" s="3" t="s">
        <v>198</v>
      </c>
      <c r="D9" s="3" t="s">
        <v>399</v>
      </c>
      <c r="M9" s="285" t="s">
        <v>200</v>
      </c>
      <c r="N9" s="285"/>
    </row>
    <row r="10" spans="2:22" ht="15.75" customHeight="1" x14ac:dyDescent="0.25">
      <c r="C10" s="3" t="s">
        <v>199</v>
      </c>
      <c r="D10" s="3" t="s">
        <v>400</v>
      </c>
      <c r="K10" s="54"/>
      <c r="M10" s="285" t="s">
        <v>201</v>
      </c>
      <c r="N10" s="285"/>
      <c r="P10" s="168"/>
    </row>
    <row r="11" spans="2:22" ht="15.75" customHeight="1" x14ac:dyDescent="0.25">
      <c r="C11" s="3" t="s">
        <v>198</v>
      </c>
      <c r="D11" s="3" t="s">
        <v>401</v>
      </c>
    </row>
    <row r="12" spans="2:22" ht="15.75" customHeight="1" x14ac:dyDescent="0.25">
      <c r="C12" s="3" t="s">
        <v>198</v>
      </c>
      <c r="D12" s="3" t="s">
        <v>402</v>
      </c>
    </row>
    <row r="13" spans="2:22" ht="15.75" customHeight="1" x14ac:dyDescent="0.25">
      <c r="C13" s="3" t="s">
        <v>198</v>
      </c>
      <c r="D13" s="3" t="s">
        <v>403</v>
      </c>
      <c r="V13" s="226"/>
    </row>
    <row r="14" spans="2:22" ht="9.75" customHeight="1" x14ac:dyDescent="0.25">
      <c r="V14" s="226"/>
    </row>
    <row r="15" spans="2:22" ht="15.75" customHeight="1" x14ac:dyDescent="0.25">
      <c r="B15" s="10" t="s">
        <v>355</v>
      </c>
      <c r="C15" s="3" t="s">
        <v>202</v>
      </c>
      <c r="R15" s="302"/>
      <c r="S15" s="302"/>
      <c r="T15" s="302"/>
      <c r="U15" s="302"/>
      <c r="V15" s="226"/>
    </row>
    <row r="16" spans="2:22" ht="5.0999999999999996" customHeight="1" x14ac:dyDescent="0.25">
      <c r="R16" s="302"/>
      <c r="S16" s="302"/>
      <c r="T16" s="302"/>
      <c r="U16" s="302"/>
      <c r="V16" s="226"/>
    </row>
    <row r="17" spans="3:22" ht="15.75" customHeight="1" x14ac:dyDescent="0.25">
      <c r="C17" s="3" t="s">
        <v>444</v>
      </c>
      <c r="J17" s="3" t="s">
        <v>380</v>
      </c>
      <c r="K17" s="169">
        <v>218000</v>
      </c>
      <c r="V17" s="226"/>
    </row>
    <row r="18" spans="3:22" ht="15.75" customHeight="1" x14ac:dyDescent="0.25">
      <c r="C18" s="3" t="s">
        <v>445</v>
      </c>
      <c r="J18" s="3" t="s">
        <v>380</v>
      </c>
      <c r="K18" s="13">
        <v>265700</v>
      </c>
      <c r="V18" s="226"/>
    </row>
    <row r="19" spans="3:22" ht="15.75" customHeight="1" x14ac:dyDescent="0.25">
      <c r="C19" s="3" t="s">
        <v>446</v>
      </c>
      <c r="J19" s="3" t="s">
        <v>380</v>
      </c>
      <c r="K19" s="13">
        <v>1401340</v>
      </c>
      <c r="V19" s="226"/>
    </row>
    <row r="20" spans="3:22" ht="15.75" customHeight="1" x14ac:dyDescent="0.25">
      <c r="C20" s="3" t="s">
        <v>447</v>
      </c>
      <c r="J20" s="3" t="s">
        <v>380</v>
      </c>
      <c r="K20" s="13">
        <v>418600</v>
      </c>
      <c r="V20" s="226"/>
    </row>
    <row r="21" spans="3:22" ht="15.75" customHeight="1" x14ac:dyDescent="0.25">
      <c r="C21" s="3" t="s">
        <v>448</v>
      </c>
      <c r="J21" s="3" t="s">
        <v>380</v>
      </c>
      <c r="K21" s="13">
        <v>198000</v>
      </c>
      <c r="V21" s="226"/>
    </row>
    <row r="22" spans="3:22" ht="15.75" customHeight="1" x14ac:dyDescent="0.25">
      <c r="C22" s="3" t="s">
        <v>449</v>
      </c>
      <c r="J22" s="3" t="s">
        <v>380</v>
      </c>
      <c r="K22" s="13">
        <v>50000</v>
      </c>
      <c r="V22" s="226"/>
    </row>
    <row r="23" spans="3:22" ht="15.75" customHeight="1" thickBot="1" x14ac:dyDescent="0.3">
      <c r="C23" s="104" t="s">
        <v>450</v>
      </c>
      <c r="J23" s="3" t="s">
        <v>380</v>
      </c>
      <c r="K23" s="14">
        <f>SUM(K17:K22)</f>
        <v>2551640</v>
      </c>
      <c r="V23" s="226"/>
    </row>
    <row r="24" spans="3:22" ht="9.75" customHeight="1" thickTop="1" x14ac:dyDescent="0.25">
      <c r="V24" s="226"/>
    </row>
    <row r="25" spans="3:22" ht="15.75" customHeight="1" x14ac:dyDescent="0.25">
      <c r="C25" s="30" t="s">
        <v>612</v>
      </c>
      <c r="V25" s="226"/>
    </row>
    <row r="26" spans="3:22" ht="15.75" customHeight="1" x14ac:dyDescent="0.25">
      <c r="C26" s="30" t="s">
        <v>613</v>
      </c>
    </row>
    <row r="27" spans="3:22" ht="15.75" customHeight="1" x14ac:dyDescent="0.25">
      <c r="C27" s="30" t="s">
        <v>614</v>
      </c>
    </row>
    <row r="28" spans="3:22" ht="15.75" customHeight="1" x14ac:dyDescent="0.25">
      <c r="C28" s="30" t="s">
        <v>32</v>
      </c>
    </row>
    <row r="29" spans="3:22" ht="15.75" customHeight="1" x14ac:dyDescent="0.25">
      <c r="C29" s="30" t="s">
        <v>615</v>
      </c>
    </row>
    <row r="30" spans="3:22" ht="15.75" customHeight="1" x14ac:dyDescent="0.25">
      <c r="C30" s="30" t="s">
        <v>33</v>
      </c>
    </row>
    <row r="31" spans="3:22" ht="15.75" customHeight="1" x14ac:dyDescent="0.25">
      <c r="C31" s="3" t="s">
        <v>616</v>
      </c>
    </row>
    <row r="32" spans="3:22" ht="15.75" customHeight="1" x14ac:dyDescent="0.25">
      <c r="C32" s="3" t="s">
        <v>618</v>
      </c>
    </row>
    <row r="33" spans="3:21" ht="15.75" customHeight="1" x14ac:dyDescent="0.25">
      <c r="C33" s="3" t="s">
        <v>617</v>
      </c>
    </row>
    <row r="34" spans="3:21" ht="9.75" customHeight="1" x14ac:dyDescent="0.25">
      <c r="S34" s="307" t="s">
        <v>835</v>
      </c>
    </row>
    <row r="35" spans="3:21" ht="15.75" customHeight="1" x14ac:dyDescent="0.25">
      <c r="C35" s="287" t="s">
        <v>619</v>
      </c>
      <c r="D35" s="287"/>
      <c r="E35" s="287"/>
      <c r="F35" s="287"/>
      <c r="G35" s="287"/>
      <c r="H35" s="287"/>
      <c r="I35" s="287"/>
      <c r="J35" s="32"/>
      <c r="K35" s="203">
        <f>Q35</f>
        <v>2551640</v>
      </c>
      <c r="L35" s="176"/>
      <c r="M35" s="176"/>
      <c r="N35" s="176"/>
      <c r="Q35" s="308">
        <f>K23</f>
        <v>2551640</v>
      </c>
      <c r="R35" s="308" t="s">
        <v>471</v>
      </c>
      <c r="S35" s="308">
        <v>18200</v>
      </c>
      <c r="T35" s="308" t="s">
        <v>468</v>
      </c>
      <c r="U35" s="349">
        <f>SUM(Q35/S35)</f>
        <v>140.19999999999999</v>
      </c>
    </row>
    <row r="36" spans="3:21" ht="15.75" customHeight="1" x14ac:dyDescent="0.25">
      <c r="K36" s="166" t="str">
        <f>CONCATENATE(TEXT(S35,"#,##0")," hours")</f>
        <v>18,200 hours</v>
      </c>
      <c r="L36" s="177"/>
      <c r="M36" s="177"/>
      <c r="N36" s="177"/>
    </row>
    <row r="37" spans="3:21" ht="5.0999999999999996" customHeight="1" x14ac:dyDescent="0.25">
      <c r="K37" s="166"/>
      <c r="L37" s="166"/>
      <c r="M37" s="166"/>
      <c r="N37" s="166"/>
      <c r="Q37" s="308"/>
    </row>
    <row r="38" spans="3:21" ht="15.75" customHeight="1" x14ac:dyDescent="0.25">
      <c r="C38" s="286" t="s">
        <v>454</v>
      </c>
      <c r="D38" s="287"/>
      <c r="E38" s="287"/>
      <c r="F38" s="287"/>
      <c r="G38" s="287"/>
      <c r="H38" s="287"/>
      <c r="I38" s="287" t="s">
        <v>423</v>
      </c>
      <c r="J38" s="32"/>
      <c r="K38" s="34" t="str">
        <f>CONCATENATE(TEXT(U35,"$#,##0.00")," per hour")</f>
        <v>$140.20 per hour</v>
      </c>
      <c r="L38" s="170"/>
      <c r="M38" s="170"/>
    </row>
    <row r="39" spans="3:21" ht="5.0999999999999996" customHeight="1" x14ac:dyDescent="0.25"/>
    <row r="40" spans="3:21" ht="15.75" customHeight="1" x14ac:dyDescent="0.25"/>
    <row r="41" spans="3:21" ht="15.75" customHeight="1" x14ac:dyDescent="0.25"/>
    <row r="42" spans="3:21" ht="15.75" customHeight="1" x14ac:dyDescent="0.25"/>
    <row r="43" spans="3:21" ht="15.75" customHeight="1" x14ac:dyDescent="0.25"/>
    <row r="44" spans="3:21" ht="15.75" customHeight="1" x14ac:dyDescent="0.25"/>
    <row r="45" spans="3:21" ht="15.75" customHeight="1" x14ac:dyDescent="0.25"/>
    <row r="46" spans="3:21" ht="15" customHeight="1" x14ac:dyDescent="0.25"/>
    <row r="47" spans="3:21" ht="15" customHeight="1" x14ac:dyDescent="0.25"/>
    <row r="48" spans="3:2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customSheetViews>
    <customSheetView guid="{C95BCE97-951E-4C98-84AE-A423A99BB34B}" showPageBreaks="1" fitToPage="1" printArea="1" topLeftCell="A10">
      <selection activeCell="M43" sqref="M43"/>
      <pageMargins left="0.5" right="1" top="0.85" bottom="0.8" header="0.5" footer="0.35"/>
      <printOptions horizontalCentered="1"/>
      <pageSetup scale="92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10">
      <selection activeCell="M43" sqref="M43"/>
      <pageMargins left="0.5" right="1" top="0.85" bottom="0.8" header="0.5" footer="0.35"/>
      <printOptions horizontalCentered="1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 topLeftCell="A4">
      <selection activeCell="I40" sqref="I40"/>
      <pageMargins left="0.5" right="1" top="0.85" bottom="0.8" header="0.5" footer="0.35"/>
      <printOptions horizontalCentered="1"/>
      <pageSetup scale="92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0">
    <mergeCell ref="C38:I38"/>
    <mergeCell ref="B2:O2"/>
    <mergeCell ref="C5:F5"/>
    <mergeCell ref="I5:K5"/>
    <mergeCell ref="C35:I35"/>
    <mergeCell ref="M5:N5"/>
    <mergeCell ref="M7:N7"/>
    <mergeCell ref="M8:N8"/>
    <mergeCell ref="M9:N9"/>
    <mergeCell ref="M10:N10"/>
  </mergeCells>
  <phoneticPr fontId="11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3"/>
  <sheetViews>
    <sheetView zoomScale="70" zoomScaleNormal="70" workbookViewId="0">
      <selection activeCell="Y33" sqref="Y33"/>
    </sheetView>
  </sheetViews>
  <sheetFormatPr defaultRowHeight="15.75" x14ac:dyDescent="0.25"/>
  <cols>
    <col min="1" max="1" width="2.7109375" style="3" customWidth="1"/>
    <col min="2" max="3" width="6.7109375" style="3" customWidth="1"/>
    <col min="4" max="4" width="4.7109375" style="3" customWidth="1"/>
    <col min="5" max="5" width="17" style="3" customWidth="1"/>
    <col min="6" max="6" width="23.7109375" style="3" customWidth="1"/>
    <col min="7" max="8" width="10" style="3" customWidth="1"/>
    <col min="9" max="9" width="8.140625" style="3" customWidth="1"/>
    <col min="10" max="10" width="10.42578125" style="3" customWidth="1"/>
    <col min="11" max="11" width="2.7109375" style="3" customWidth="1"/>
    <col min="12" max="12" width="8.7109375" style="159" hidden="1" customWidth="1"/>
    <col min="13" max="13" width="2.7109375" style="159" hidden="1" customWidth="1"/>
    <col min="14" max="14" width="9.85546875" style="159" hidden="1" customWidth="1"/>
    <col min="15" max="15" width="2.7109375" style="159" hidden="1" customWidth="1"/>
    <col min="16" max="16" width="12.85546875" style="159" hidden="1" customWidth="1"/>
    <col min="17" max="17" width="2.7109375" style="159" hidden="1" customWidth="1"/>
    <col min="18" max="18" width="9.42578125" style="159" hidden="1" customWidth="1"/>
    <col min="19" max="19" width="2.7109375" style="159" hidden="1" customWidth="1"/>
    <col min="20" max="20" width="9.85546875" style="159" hidden="1" customWidth="1"/>
    <col min="21" max="21" width="2.7109375" style="3" customWidth="1"/>
    <col min="22" max="16384" width="9.140625" style="3"/>
  </cols>
  <sheetData>
    <row r="1" spans="2:20" ht="30" customHeight="1" x14ac:dyDescent="0.25"/>
    <row r="2" spans="2:20" ht="15.75" customHeight="1" x14ac:dyDescent="0.25">
      <c r="B2" s="248" t="s">
        <v>132</v>
      </c>
      <c r="C2" s="248"/>
      <c r="D2" s="248"/>
      <c r="E2" s="248"/>
      <c r="F2" s="248"/>
      <c r="G2" s="248"/>
      <c r="H2" s="248"/>
      <c r="I2" s="248"/>
      <c r="J2" s="66"/>
      <c r="K2" s="66"/>
      <c r="L2" s="235"/>
    </row>
    <row r="3" spans="2:20" ht="9.75" customHeight="1" x14ac:dyDescent="0.25"/>
    <row r="4" spans="2:20" ht="15.75" customHeight="1" x14ac:dyDescent="0.25">
      <c r="B4" s="10" t="s">
        <v>82</v>
      </c>
      <c r="C4" s="103" t="s">
        <v>340</v>
      </c>
      <c r="K4" s="6"/>
    </row>
    <row r="5" spans="2:20" ht="9.75" customHeight="1" x14ac:dyDescent="0.25">
      <c r="C5" s="103"/>
      <c r="K5" s="6"/>
    </row>
    <row r="6" spans="2:20" ht="15.75" customHeight="1" x14ac:dyDescent="0.25">
      <c r="B6" s="10" t="s">
        <v>83</v>
      </c>
      <c r="C6" s="103" t="s">
        <v>341</v>
      </c>
      <c r="K6" s="6"/>
      <c r="M6" s="235"/>
      <c r="N6" s="235"/>
      <c r="O6" s="235"/>
    </row>
    <row r="7" spans="2:20" ht="9.75" customHeight="1" x14ac:dyDescent="0.25">
      <c r="C7" s="103"/>
      <c r="K7" s="6"/>
      <c r="N7" s="293" t="s">
        <v>727</v>
      </c>
      <c r="O7" s="293"/>
      <c r="P7" s="293"/>
      <c r="R7" s="289" t="s">
        <v>729</v>
      </c>
    </row>
    <row r="8" spans="2:20" ht="15.75" customHeight="1" x14ac:dyDescent="0.25">
      <c r="B8" s="10" t="s">
        <v>84</v>
      </c>
      <c r="C8" s="103" t="s">
        <v>338</v>
      </c>
      <c r="D8" s="3" t="str">
        <f>CONCATENATE("Conversion Cost per Unit = ",TEXT(N8,"$#,##0"),O8,TEXT(P8,"$#,##0"),Q8,TEXT(R8,"$#,##0"),)</f>
        <v>Conversion Cost per Unit = $6 + $19 = $25</v>
      </c>
      <c r="K8" s="6"/>
      <c r="N8" s="288">
        <v>6</v>
      </c>
      <c r="O8" s="288" t="s">
        <v>467</v>
      </c>
      <c r="P8" s="288">
        <v>19</v>
      </c>
      <c r="Q8" s="288" t="s">
        <v>468</v>
      </c>
      <c r="R8" s="288">
        <f>SUM(N8+P8)</f>
        <v>25</v>
      </c>
    </row>
    <row r="9" spans="2:20" ht="9.75" customHeight="1" x14ac:dyDescent="0.25">
      <c r="C9" s="103"/>
      <c r="K9" s="6"/>
      <c r="O9" s="288"/>
      <c r="T9" s="289" t="s">
        <v>728</v>
      </c>
    </row>
    <row r="10" spans="2:20" ht="15.75" customHeight="1" x14ac:dyDescent="0.25">
      <c r="B10" s="10" t="s">
        <v>85</v>
      </c>
      <c r="C10" s="103" t="s">
        <v>338</v>
      </c>
      <c r="D10" s="3" t="str">
        <f>CONCATENATE("Sales = ",TEXT(N10,"$#,##0"),O10,TEXT(P10,"#,##0")," units",Q10,TEXT(R10,"$#,##0"),)</f>
        <v>Sales = $75 × 2,000 units = $150,000</v>
      </c>
      <c r="J10" s="6"/>
      <c r="K10" s="6"/>
      <c r="N10" s="288">
        <v>75</v>
      </c>
      <c r="O10" s="288" t="s">
        <v>469</v>
      </c>
      <c r="P10" s="288">
        <v>2000</v>
      </c>
      <c r="Q10" s="288" t="s">
        <v>468</v>
      </c>
      <c r="R10" s="288">
        <f>SUM(N10*P10)</f>
        <v>150000</v>
      </c>
      <c r="T10" s="294" t="s">
        <v>736</v>
      </c>
    </row>
    <row r="11" spans="2:20" ht="15.75" customHeight="1" x14ac:dyDescent="0.25">
      <c r="C11" s="103"/>
      <c r="D11" s="3" t="str">
        <f>CONCATENATE("Production Cost per Unit = ",TEXT(N11,"$#,##0"),O11,TEXT(P11,"$#,##0"),Q11,TEXT(R11,"$#,##0"),S11,TEXT(T11,"$#,##0"))</f>
        <v>Production Cost per Unit = $15 + $6 + $19 = $40</v>
      </c>
      <c r="J11" s="6"/>
      <c r="K11" s="6"/>
      <c r="N11" s="288">
        <v>15</v>
      </c>
      <c r="O11" s="288" t="s">
        <v>467</v>
      </c>
      <c r="P11" s="288">
        <v>6</v>
      </c>
      <c r="Q11" s="288" t="s">
        <v>467</v>
      </c>
      <c r="R11" s="288">
        <v>19</v>
      </c>
      <c r="S11" s="288" t="s">
        <v>468</v>
      </c>
      <c r="T11" s="288">
        <f>SUM(N11+P11+R11)</f>
        <v>40</v>
      </c>
    </row>
    <row r="12" spans="2:20" ht="15.75" customHeight="1" x14ac:dyDescent="0.25">
      <c r="C12" s="103"/>
      <c r="D12" s="3" t="str">
        <f>CONCATENATE("Cost of Goods Sold = ",TEXT(N12,"$#,##0"),O12,TEXT(P12,"#,##0"),Q12,TEXT(R12,"$#,##0"),)</f>
        <v>Cost of Goods Sold = $40 × 2,000 = $80,000</v>
      </c>
      <c r="J12" s="6"/>
      <c r="K12" s="6"/>
      <c r="L12" s="290" t="s">
        <v>738</v>
      </c>
      <c r="N12" s="288">
        <f>T11</f>
        <v>40</v>
      </c>
      <c r="O12" s="288" t="s">
        <v>469</v>
      </c>
      <c r="P12" s="288">
        <f>P10</f>
        <v>2000</v>
      </c>
      <c r="Q12" s="288" t="s">
        <v>468</v>
      </c>
      <c r="R12" s="288">
        <f>SUM(N12*P12)</f>
        <v>80000</v>
      </c>
      <c r="T12" s="295" t="s">
        <v>737</v>
      </c>
    </row>
    <row r="13" spans="2:20" ht="15.75" customHeight="1" x14ac:dyDescent="0.25">
      <c r="C13" s="103"/>
      <c r="D13" s="3" t="str">
        <f>CONCATENATE("Gross Margin = ",TEXT(N13,"$#,##0"),O13,TEXT(P13,"$#,##0"),Q13,TEXT(R13,"$#,##0"))</f>
        <v>Gross Margin = $150,000 – $80,000 = $70,000</v>
      </c>
      <c r="J13" s="6"/>
      <c r="K13" s="6"/>
      <c r="L13" s="290" t="s">
        <v>738</v>
      </c>
      <c r="N13" s="288">
        <f>R10</f>
        <v>150000</v>
      </c>
      <c r="O13" s="288" t="s">
        <v>470</v>
      </c>
      <c r="P13" s="288">
        <f>R12</f>
        <v>80000</v>
      </c>
      <c r="Q13" s="288" t="s">
        <v>468</v>
      </c>
      <c r="R13" s="288">
        <f>SUM(N13-P13)</f>
        <v>70000</v>
      </c>
      <c r="T13" s="295" t="s">
        <v>737</v>
      </c>
    </row>
    <row r="14" spans="2:20" ht="9.75" customHeight="1" x14ac:dyDescent="0.25">
      <c r="C14" s="103"/>
      <c r="K14" s="6"/>
    </row>
    <row r="15" spans="2:20" ht="15.75" customHeight="1" x14ac:dyDescent="0.25">
      <c r="B15" s="10" t="s">
        <v>86</v>
      </c>
      <c r="C15" s="103" t="s">
        <v>339</v>
      </c>
      <c r="K15" s="6"/>
    </row>
    <row r="16" spans="2:20" ht="9.75" customHeight="1" x14ac:dyDescent="0.25">
      <c r="C16" s="103"/>
      <c r="K16" s="6"/>
    </row>
    <row r="17" spans="2:18" ht="15.75" customHeight="1" x14ac:dyDescent="0.25">
      <c r="B17" s="10" t="s">
        <v>87</v>
      </c>
      <c r="C17" s="103" t="s">
        <v>341</v>
      </c>
      <c r="K17" s="6"/>
    </row>
    <row r="18" spans="2:18" ht="9.75" customHeight="1" x14ac:dyDescent="0.25">
      <c r="C18" s="103"/>
      <c r="K18" s="6"/>
    </row>
    <row r="19" spans="2:18" ht="15.75" customHeight="1" x14ac:dyDescent="0.25">
      <c r="B19" s="10" t="s">
        <v>88</v>
      </c>
      <c r="C19" s="103" t="s">
        <v>340</v>
      </c>
      <c r="K19" s="6"/>
    </row>
    <row r="20" spans="2:18" ht="9.75" customHeight="1" x14ac:dyDescent="0.25">
      <c r="C20" s="103"/>
      <c r="K20" s="6"/>
    </row>
    <row r="21" spans="2:18" ht="15.75" customHeight="1" x14ac:dyDescent="0.25">
      <c r="B21" s="10" t="s">
        <v>89</v>
      </c>
      <c r="C21" s="103" t="s">
        <v>341</v>
      </c>
      <c r="K21" s="6"/>
    </row>
    <row r="22" spans="2:18" ht="9.75" customHeight="1" x14ac:dyDescent="0.25">
      <c r="C22" s="103"/>
      <c r="K22" s="6"/>
    </row>
    <row r="23" spans="2:18" ht="15.75" customHeight="1" x14ac:dyDescent="0.25">
      <c r="B23" s="10" t="s">
        <v>90</v>
      </c>
      <c r="C23" s="103" t="s">
        <v>338</v>
      </c>
      <c r="K23" s="6"/>
    </row>
    <row r="24" spans="2:18" ht="9.75" customHeight="1" x14ac:dyDescent="0.25">
      <c r="C24" s="103"/>
      <c r="K24" s="6"/>
    </row>
    <row r="25" spans="2:18" ht="15.75" customHeight="1" x14ac:dyDescent="0.25">
      <c r="B25" s="10" t="s">
        <v>91</v>
      </c>
      <c r="C25" s="103" t="s">
        <v>337</v>
      </c>
      <c r="K25" s="6"/>
    </row>
    <row r="26" spans="2:18" ht="9.75" customHeight="1" x14ac:dyDescent="0.25">
      <c r="C26" s="103"/>
      <c r="K26" s="6"/>
      <c r="N26" s="293" t="s">
        <v>727</v>
      </c>
      <c r="O26" s="293"/>
      <c r="P26" s="293"/>
      <c r="R26" s="289" t="s">
        <v>730</v>
      </c>
    </row>
    <row r="27" spans="2:18" ht="15.75" customHeight="1" x14ac:dyDescent="0.25">
      <c r="B27" s="10" t="s">
        <v>92</v>
      </c>
      <c r="C27" s="103" t="s">
        <v>339</v>
      </c>
      <c r="D27" s="3" t="str">
        <f>CONCATENATE("Prime Cost per Unit = ",TEXT(N27,"$#,##0.00"),O27,TEXT(P27,"$#,##0.00"),Q27,TEXT(R27,"$#,##0.00"),)</f>
        <v>Prime Cost per Unit = $8.65 + $1.10 = $9.75</v>
      </c>
      <c r="I27" s="178"/>
      <c r="J27" s="6"/>
      <c r="K27" s="6"/>
      <c r="N27" s="291">
        <v>8.65</v>
      </c>
      <c r="O27" s="288" t="s">
        <v>467</v>
      </c>
      <c r="P27" s="291">
        <v>1.1000000000000001</v>
      </c>
      <c r="Q27" s="288" t="s">
        <v>468</v>
      </c>
      <c r="R27" s="291">
        <f>SUM(N27+P27)</f>
        <v>9.75</v>
      </c>
    </row>
    <row r="28" spans="2:18" ht="9.75" customHeight="1" x14ac:dyDescent="0.25">
      <c r="C28" s="103"/>
      <c r="K28" s="6"/>
      <c r="O28" s="291"/>
    </row>
    <row r="29" spans="2:18" ht="15.75" customHeight="1" x14ac:dyDescent="0.25">
      <c r="B29" s="10" t="s">
        <v>93</v>
      </c>
      <c r="C29" s="103" t="s">
        <v>338</v>
      </c>
      <c r="K29" s="6"/>
      <c r="O29" s="292"/>
    </row>
    <row r="30" spans="2:18" ht="9.75" customHeight="1" x14ac:dyDescent="0.25">
      <c r="C30" s="103"/>
      <c r="K30" s="6"/>
      <c r="N30" s="293" t="s">
        <v>727</v>
      </c>
      <c r="O30" s="293"/>
      <c r="P30" s="293"/>
      <c r="R30" s="289" t="s">
        <v>730</v>
      </c>
    </row>
    <row r="31" spans="2:18" ht="15.75" customHeight="1" x14ac:dyDescent="0.25">
      <c r="B31" s="10" t="s">
        <v>94</v>
      </c>
      <c r="C31" s="103" t="s">
        <v>337</v>
      </c>
      <c r="D31" s="3" t="str">
        <f>CONCATENATE("Total Prime Cost = ",TEXT(N31,"$#,##0"),O31,TEXT(P31,"$#,##0"),Q31,TEXT(R31,"$#,##0"),)</f>
        <v>Total Prime Cost = $50,000 + $20,000 = $70,000</v>
      </c>
      <c r="J31" s="6"/>
      <c r="K31" s="41"/>
      <c r="L31" s="235"/>
      <c r="M31" s="235"/>
      <c r="N31" s="288">
        <v>50000</v>
      </c>
      <c r="O31" s="288" t="s">
        <v>467</v>
      </c>
      <c r="P31" s="288">
        <v>20000</v>
      </c>
      <c r="Q31" s="288" t="s">
        <v>468</v>
      </c>
      <c r="R31" s="288">
        <f>SUM(N31+P31)</f>
        <v>70000</v>
      </c>
    </row>
    <row r="32" spans="2:18" ht="5.0999999999999996" customHeight="1" x14ac:dyDescent="0.25">
      <c r="C32" s="103"/>
    </row>
    <row r="33" spans="2:20" ht="15.75" customHeight="1" x14ac:dyDescent="0.25">
      <c r="C33" s="103"/>
      <c r="D33" s="3" t="str">
        <f>CONCATENATE("Prime Cost per Unit = ",TEXT(N33,"$#,##0"),O33,TEXT(P33,"#,##0")," units",Q33,TEXT(R33,"$#,##0.00"),)</f>
        <v>Prime Cost per Unit = $70,000/10,000 units = $7.00</v>
      </c>
      <c r="J33" s="6"/>
      <c r="K33" s="6"/>
      <c r="N33" s="288">
        <f>R31</f>
        <v>70000</v>
      </c>
      <c r="O33" s="288" t="s">
        <v>495</v>
      </c>
      <c r="P33" s="288">
        <v>10000</v>
      </c>
      <c r="Q33" s="288" t="s">
        <v>468</v>
      </c>
      <c r="R33" s="291">
        <f>SUM(N33/P33)</f>
        <v>7</v>
      </c>
    </row>
    <row r="34" spans="2:20" ht="9.75" customHeight="1" x14ac:dyDescent="0.25">
      <c r="C34" s="103"/>
      <c r="K34" s="6"/>
      <c r="P34" s="288"/>
    </row>
    <row r="35" spans="2:20" ht="15.75" customHeight="1" x14ac:dyDescent="0.25">
      <c r="B35" s="10" t="s">
        <v>95</v>
      </c>
      <c r="C35" s="103" t="s">
        <v>340</v>
      </c>
      <c r="D35" s="3" t="str">
        <f>CONCATENATE("Total Conversion Cost = ",TEXT(N35,"$#,##0"),O35,TEXT(P35,"$#,##0"),Q35,TEXT(R35,"$#,##0"),)</f>
        <v>Total Conversion Cost = $20,000 + $130,000 = $150,000</v>
      </c>
      <c r="N35" s="288">
        <v>20000</v>
      </c>
      <c r="O35" s="288" t="s">
        <v>467</v>
      </c>
      <c r="P35" s="288">
        <v>130000</v>
      </c>
      <c r="Q35" s="288" t="s">
        <v>468</v>
      </c>
      <c r="R35" s="288">
        <f>SUM(N35+P35)</f>
        <v>150000</v>
      </c>
    </row>
    <row r="36" spans="2:20" ht="5.0999999999999996" customHeight="1" x14ac:dyDescent="0.25">
      <c r="C36" s="103"/>
      <c r="K36" s="6"/>
    </row>
    <row r="37" spans="2:20" ht="15.75" customHeight="1" x14ac:dyDescent="0.25">
      <c r="C37" s="103"/>
      <c r="D37" s="3" t="str">
        <f>CONCATENATE("Conversion Cost per Unit = ",TEXT(N37,"$#,##0"),O37,TEXT(P37,"#,##0")," units",Q37,TEXT(R37,"$#,##0.00"),)</f>
        <v>Conversion Cost per Unit = $150,000/10,000 units = $15.00</v>
      </c>
      <c r="N37" s="288">
        <f>R35</f>
        <v>150000</v>
      </c>
      <c r="O37" s="288" t="s">
        <v>495</v>
      </c>
      <c r="P37" s="288">
        <v>10000</v>
      </c>
      <c r="Q37" s="288" t="s">
        <v>468</v>
      </c>
      <c r="R37" s="291">
        <f>SUM(N37/P37)</f>
        <v>15</v>
      </c>
      <c r="T37" s="289" t="s">
        <v>728</v>
      </c>
    </row>
    <row r="38" spans="2:20" ht="9.75" customHeight="1" x14ac:dyDescent="0.25">
      <c r="C38" s="103"/>
      <c r="K38" s="6"/>
      <c r="P38" s="288"/>
      <c r="S38" s="296"/>
      <c r="T38" s="289" t="s">
        <v>730</v>
      </c>
    </row>
    <row r="39" spans="2:20" ht="15.75" customHeight="1" x14ac:dyDescent="0.25">
      <c r="B39" s="10" t="s">
        <v>96</v>
      </c>
      <c r="C39" s="103" t="s">
        <v>338</v>
      </c>
      <c r="D39" s="3" t="s">
        <v>499</v>
      </c>
      <c r="E39" s="54"/>
      <c r="F39" s="3" t="str">
        <f>CONCATENATE("= ",TEXT(N39,"$#,##0"),O39,TEXT(P39,"$#,##0"),Q39,TEXT(R39,"$#,##0"),S39,TEXT(T39,"$#,##0"),)</f>
        <v>= $50,000 + $20,000 + $130,000 = $200,000</v>
      </c>
      <c r="N39" s="288">
        <v>50000</v>
      </c>
      <c r="O39" s="288" t="s">
        <v>467</v>
      </c>
      <c r="P39" s="288">
        <f>P31</f>
        <v>20000</v>
      </c>
      <c r="Q39" s="288" t="s">
        <v>467</v>
      </c>
      <c r="R39" s="288">
        <f>P35</f>
        <v>130000</v>
      </c>
      <c r="S39" s="288" t="s">
        <v>468</v>
      </c>
      <c r="T39" s="288">
        <f>SUM(N39+P39+R39)</f>
        <v>200000</v>
      </c>
    </row>
    <row r="40" spans="2:20" ht="5.0999999999999996" customHeight="1" x14ac:dyDescent="0.25">
      <c r="C40" s="103"/>
    </row>
    <row r="41" spans="2:20" ht="15.75" customHeight="1" x14ac:dyDescent="0.25">
      <c r="C41" s="103"/>
      <c r="D41" s="3" t="str">
        <f>CONCATENATE("Cost of Goods Sold per Unit = ",TEXT(N41,"$#,##0"),O41,TEXT(P41,"#,##0")," units",Q41,TEXT(R41,"$#,##0.00"),)</f>
        <v>Cost of Goods Sold per Unit = $200,000/10,000 units = $20.00</v>
      </c>
      <c r="N41" s="288">
        <f>T39</f>
        <v>200000</v>
      </c>
      <c r="O41" s="288" t="s">
        <v>495</v>
      </c>
      <c r="P41" s="288">
        <f>P37</f>
        <v>10000</v>
      </c>
      <c r="Q41" s="288" t="s">
        <v>468</v>
      </c>
      <c r="R41" s="291">
        <f>SUM(N41/P41)</f>
        <v>20</v>
      </c>
    </row>
    <row r="42" spans="2:20" ht="9.75" customHeight="1" x14ac:dyDescent="0.25">
      <c r="K42" s="6"/>
      <c r="P42" s="288"/>
    </row>
    <row r="43" spans="2:20" ht="15.75" customHeight="1" x14ac:dyDescent="0.25">
      <c r="B43" s="10" t="s">
        <v>97</v>
      </c>
      <c r="C43" s="3" t="s">
        <v>338</v>
      </c>
      <c r="D43" s="3" t="str">
        <f>CONCATENATE("Sales = ",TEXT(N43,"$#,##0"),O43,TEXT(P43,"#,##0"),Q43,TEXT(R43,"$#,##0"))</f>
        <v>Sales = $31 × 10,000 = $310,000</v>
      </c>
      <c r="N43" s="288">
        <v>31</v>
      </c>
      <c r="O43" s="288" t="s">
        <v>469</v>
      </c>
      <c r="P43" s="288">
        <v>10000</v>
      </c>
      <c r="Q43" s="288" t="s">
        <v>468</v>
      </c>
      <c r="R43" s="288">
        <f>SUM(N43*P43)</f>
        <v>310000</v>
      </c>
    </row>
    <row r="44" spans="2:20" ht="5.0999999999999996" customHeight="1" x14ac:dyDescent="0.25">
      <c r="B44" s="10"/>
    </row>
    <row r="45" spans="2:20" ht="15.75" customHeight="1" x14ac:dyDescent="0.25">
      <c r="D45" s="3" t="str">
        <f>CONCATENATE("Gross Margin = ",TEXT(N45,"$#,##0"),O45,TEXT(P45,"$#,##0"),Q45,TEXT(R45,"$#,##0"),)</f>
        <v>Gross Margin = $310,000 – $200,000 = $110,000</v>
      </c>
      <c r="I45" s="54"/>
      <c r="N45" s="288">
        <f>R43</f>
        <v>310000</v>
      </c>
      <c r="O45" s="288" t="s">
        <v>470</v>
      </c>
      <c r="P45" s="288">
        <v>200000</v>
      </c>
      <c r="Q45" s="288" t="s">
        <v>468</v>
      </c>
      <c r="R45" s="288">
        <f>SUM(N45-P45)</f>
        <v>110000</v>
      </c>
    </row>
    <row r="46" spans="2:20" ht="5.0999999999999996" customHeight="1" x14ac:dyDescent="0.25"/>
    <row r="47" spans="2:20" ht="15.75" customHeight="1" x14ac:dyDescent="0.25">
      <c r="D47" s="3" t="str">
        <f>CONCATENATE("Gross Margin per Unit = ",TEXT(N47,"$#,##0"),O47,TEXT(P47,"#,##0")," units",Q47,TEXT(R47,"$#,##0.00"),)</f>
        <v>Gross Margin per Unit = $110,000/10,000 units = $11.00</v>
      </c>
      <c r="N47" s="288">
        <f>R45</f>
        <v>110000</v>
      </c>
      <c r="O47" s="288" t="s">
        <v>495</v>
      </c>
      <c r="P47" s="288">
        <f>P43</f>
        <v>10000</v>
      </c>
      <c r="Q47" s="288" t="s">
        <v>468</v>
      </c>
      <c r="R47" s="291">
        <f>SUM(N47/P47)</f>
        <v>11</v>
      </c>
    </row>
    <row r="48" spans="2:20" ht="9.75" customHeight="1" x14ac:dyDescent="0.25"/>
    <row r="49" spans="2:20" ht="15.75" customHeight="1" x14ac:dyDescent="0.25">
      <c r="B49" s="10" t="s">
        <v>98</v>
      </c>
      <c r="C49" s="3" t="s">
        <v>340</v>
      </c>
      <c r="D49" s="3" t="str">
        <f>CONCATENATE("Period Expense = ",TEXT(N49,"$#,##0"),O49,TEXT(P49,"$#,##0"),Q49,TEXT(R49,"$#,##0"),)</f>
        <v>Period Expense = $40,000 + $36,000 = $76,000</v>
      </c>
      <c r="N49" s="288">
        <v>40000</v>
      </c>
      <c r="O49" s="288" t="s">
        <v>467</v>
      </c>
      <c r="P49" s="288">
        <v>36000</v>
      </c>
      <c r="Q49" s="288" t="s">
        <v>468</v>
      </c>
      <c r="R49" s="288">
        <f>SUM(N49+P49)</f>
        <v>76000</v>
      </c>
      <c r="T49" s="289" t="s">
        <v>728</v>
      </c>
    </row>
    <row r="50" spans="2:20" ht="9.75" customHeight="1" x14ac:dyDescent="0.25">
      <c r="T50" s="289" t="s">
        <v>730</v>
      </c>
    </row>
    <row r="51" spans="2:20" ht="15.75" customHeight="1" x14ac:dyDescent="0.25">
      <c r="B51" s="10" t="s">
        <v>99</v>
      </c>
      <c r="C51" s="3" t="s">
        <v>337</v>
      </c>
      <c r="D51" s="3" t="str">
        <f>CONCATENATE("Operating Income = ",TEXT(N51,"$#,##0"),O51,TEXT(P51,"$#,##0"),Q51,TEXT(R51,"$#,##0"),S51,TEXT(T51,"$#,##0"),)</f>
        <v>Operating Income = $310,000 – $200,000 – $76,000 = $34,000</v>
      </c>
      <c r="I51" s="54"/>
      <c r="N51" s="288">
        <v>310000</v>
      </c>
      <c r="O51" s="288" t="s">
        <v>470</v>
      </c>
      <c r="P51" s="288">
        <v>200000</v>
      </c>
      <c r="Q51" s="288" t="s">
        <v>470</v>
      </c>
      <c r="R51" s="288">
        <v>76000</v>
      </c>
      <c r="S51" s="288" t="s">
        <v>468</v>
      </c>
      <c r="T51" s="288">
        <f>SUM(N51-P51-R51)</f>
        <v>34000</v>
      </c>
    </row>
    <row r="52" spans="2:20" ht="15" customHeight="1" x14ac:dyDescent="0.25"/>
    <row r="53" spans="2:20" ht="15" customHeight="1" x14ac:dyDescent="0.25"/>
    <row r="54" spans="2:20" ht="15" customHeight="1" x14ac:dyDescent="0.25"/>
    <row r="55" spans="2:20" ht="15" customHeight="1" x14ac:dyDescent="0.25"/>
    <row r="56" spans="2:20" ht="15" customHeight="1" x14ac:dyDescent="0.25"/>
    <row r="57" spans="2:20" ht="15" customHeight="1" x14ac:dyDescent="0.25"/>
    <row r="58" spans="2:20" ht="15" customHeight="1" x14ac:dyDescent="0.25"/>
    <row r="59" spans="2:20" ht="15" customHeight="1" x14ac:dyDescent="0.25"/>
    <row r="60" spans="2:20" ht="15" customHeight="1" x14ac:dyDescent="0.25"/>
    <row r="61" spans="2:20" ht="15" customHeight="1" x14ac:dyDescent="0.25"/>
    <row r="62" spans="2:20" ht="15" customHeight="1" x14ac:dyDescent="0.25"/>
    <row r="63" spans="2:20" ht="15" customHeight="1" x14ac:dyDescent="0.25"/>
    <row r="64" spans="2:20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customSheetViews>
    <customSheetView guid="{C95BCE97-951E-4C98-84AE-A423A99BB34B}" showPageBreaks="1" fitToPage="1" printArea="1" topLeftCell="A22">
      <selection activeCell="D41" sqref="D41"/>
      <pageMargins left="1" right="0.5" top="0.85" bottom="0.8" header="0.5" footer="0.35"/>
      <printOptions horizontalCentered="1"/>
      <pageSetup scale="87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25" fitToPage="1" topLeftCell="A28">
      <selection activeCell="F45" sqref="F45"/>
      <pageMargins left="1" right="0.5" top="0.85" bottom="0.8" header="0.5" footer="0.35"/>
      <printOptions horizontalCentered="1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D41" sqref="D41"/>
      <pageMargins left="1" right="0.5" top="0.85" bottom="0.8" header="0.5" footer="0.35"/>
      <printOptions horizontalCentered="1"/>
      <pageSetup scale="87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4">
    <mergeCell ref="B2:I2"/>
    <mergeCell ref="N7:P7"/>
    <mergeCell ref="N26:P26"/>
    <mergeCell ref="N30:P30"/>
  </mergeCells>
  <phoneticPr fontId="11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showGridLines="0" zoomScale="70" zoomScaleNormal="70" workbookViewId="0"/>
  </sheetViews>
  <sheetFormatPr defaultRowHeight="15.75" x14ac:dyDescent="0.25"/>
  <cols>
    <col min="1" max="1" width="2.28515625" style="3" customWidth="1"/>
    <col min="2" max="2" width="4.7109375" style="3" customWidth="1"/>
    <col min="3" max="5" width="10.28515625" style="3" customWidth="1"/>
    <col min="6" max="6" width="13.28515625" style="3" customWidth="1"/>
    <col min="7" max="7" width="10.28515625" style="3" customWidth="1"/>
    <col min="8" max="9" width="9.7109375" style="3" customWidth="1"/>
    <col min="10" max="10" width="9.85546875" style="3" customWidth="1"/>
    <col min="11" max="11" width="9.140625" style="3"/>
    <col min="12" max="12" width="2.42578125" style="3" customWidth="1"/>
    <col min="13" max="16384" width="9.140625" style="3"/>
  </cols>
  <sheetData>
    <row r="1" spans="2:10" ht="30" customHeight="1" x14ac:dyDescent="0.25"/>
    <row r="2" spans="2:10" ht="15.75" customHeight="1" x14ac:dyDescent="0.25">
      <c r="B2" s="54" t="s">
        <v>424</v>
      </c>
      <c r="D2" s="54"/>
    </row>
    <row r="3" spans="2:10" ht="15.75" customHeight="1" x14ac:dyDescent="0.25">
      <c r="B3" s="10" t="s">
        <v>354</v>
      </c>
      <c r="C3" s="3" t="s">
        <v>620</v>
      </c>
    </row>
    <row r="4" spans="2:10" ht="15.75" customHeight="1" x14ac:dyDescent="0.25">
      <c r="C4" s="3" t="s">
        <v>621</v>
      </c>
    </row>
    <row r="5" spans="2:10" ht="15.75" customHeight="1" x14ac:dyDescent="0.25">
      <c r="C5" s="3" t="s">
        <v>622</v>
      </c>
    </row>
    <row r="6" spans="2:10" ht="15.75" customHeight="1" x14ac:dyDescent="0.25">
      <c r="C6" s="3" t="s">
        <v>623</v>
      </c>
    </row>
    <row r="7" spans="2:10" ht="15.75" customHeight="1" x14ac:dyDescent="0.25">
      <c r="C7" s="3" t="s">
        <v>624</v>
      </c>
    </row>
    <row r="8" spans="2:10" ht="5.0999999999999996" customHeight="1" x14ac:dyDescent="0.25"/>
    <row r="9" spans="2:10" ht="15.75" customHeight="1" x14ac:dyDescent="0.25">
      <c r="C9" s="30" t="s">
        <v>625</v>
      </c>
    </row>
    <row r="10" spans="2:10" ht="15.75" customHeight="1" x14ac:dyDescent="0.25">
      <c r="C10" s="30" t="s">
        <v>626</v>
      </c>
    </row>
    <row r="11" spans="2:10" ht="15.75" customHeight="1" x14ac:dyDescent="0.25">
      <c r="C11" s="30" t="s">
        <v>627</v>
      </c>
    </row>
    <row r="12" spans="2:10" ht="15.75" customHeight="1" x14ac:dyDescent="0.25">
      <c r="C12" s="3" t="s">
        <v>628</v>
      </c>
    </row>
    <row r="13" spans="2:10" ht="15.75" customHeight="1" x14ac:dyDescent="0.25">
      <c r="C13" s="3" t="s">
        <v>629</v>
      </c>
      <c r="J13" s="54"/>
    </row>
    <row r="14" spans="2:10" ht="15.75" customHeight="1" x14ac:dyDescent="0.25">
      <c r="C14" s="3" t="s">
        <v>630</v>
      </c>
      <c r="J14" s="54"/>
    </row>
    <row r="15" spans="2:10" ht="9.75" customHeight="1" x14ac:dyDescent="0.25"/>
    <row r="16" spans="2:10" ht="15.75" customHeight="1" x14ac:dyDescent="0.25">
      <c r="B16" s="10" t="s">
        <v>355</v>
      </c>
      <c r="C16" s="30" t="s">
        <v>631</v>
      </c>
    </row>
    <row r="17" spans="3:3" ht="15.75" customHeight="1" x14ac:dyDescent="0.25">
      <c r="C17" s="30" t="s">
        <v>632</v>
      </c>
    </row>
    <row r="18" spans="3:3" ht="15.75" customHeight="1" x14ac:dyDescent="0.25">
      <c r="C18" s="30" t="s">
        <v>633</v>
      </c>
    </row>
    <row r="19" spans="3:3" ht="15.75" customHeight="1" x14ac:dyDescent="0.25">
      <c r="C19" s="30" t="s">
        <v>634</v>
      </c>
    </row>
    <row r="20" spans="3:3" ht="15.75" customHeight="1" x14ac:dyDescent="0.25">
      <c r="C20" s="30" t="s">
        <v>635</v>
      </c>
    </row>
    <row r="21" spans="3:3" ht="15.75" customHeight="1" x14ac:dyDescent="0.25">
      <c r="C21" s="30" t="s">
        <v>636</v>
      </c>
    </row>
    <row r="22" spans="3:3" ht="15.75" customHeight="1" x14ac:dyDescent="0.25">
      <c r="C22" s="30" t="s">
        <v>637</v>
      </c>
    </row>
    <row r="23" spans="3:3" ht="15.75" customHeight="1" x14ac:dyDescent="0.25">
      <c r="C23" s="30" t="s">
        <v>638</v>
      </c>
    </row>
    <row r="24" spans="3:3" ht="15.75" customHeight="1" x14ac:dyDescent="0.25">
      <c r="C24" s="30" t="s">
        <v>639</v>
      </c>
    </row>
    <row r="25" spans="3:3" ht="15.75" customHeight="1" x14ac:dyDescent="0.25">
      <c r="C25" s="30" t="s">
        <v>640</v>
      </c>
    </row>
    <row r="26" spans="3:3" ht="15.75" customHeight="1" x14ac:dyDescent="0.25">
      <c r="C26" s="30" t="s">
        <v>641</v>
      </c>
    </row>
    <row r="27" spans="3:3" ht="15.75" customHeight="1" x14ac:dyDescent="0.25">
      <c r="C27" s="3" t="s">
        <v>642</v>
      </c>
    </row>
    <row r="28" spans="3:3" ht="15.75" customHeight="1" x14ac:dyDescent="0.25">
      <c r="C28" s="3" t="s">
        <v>643</v>
      </c>
    </row>
    <row r="29" spans="3:3" ht="15.75" customHeight="1" x14ac:dyDescent="0.25"/>
    <row r="30" spans="3:3" ht="9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customSheetViews>
    <customSheetView guid="{C95BCE97-951E-4C98-84AE-A423A99BB34B}" showPageBreaks="1" fitToPage="1" printArea="1">
      <pageMargins left="1" right="0.5" top="0.85" bottom="0.8" header="0.5" footer="0.35"/>
      <printOptions horizontalCentered="1"/>
      <pageSetup scale="91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7">
      <pageMargins left="1" right="0.5" top="0.85" bottom="0.8" header="0.5" footer="0.35"/>
      <printOptions horizontalCentered="1"/>
      <pageSetup scale="89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pageMargins left="1" right="0.5" top="0.85" bottom="0.8" header="0.5" footer="0.35"/>
      <printOptions horizontalCentered="1"/>
      <pageSetup scale="91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phoneticPr fontId="11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2"/>
  <sheetViews>
    <sheetView showGridLines="0" zoomScale="70" zoomScaleNormal="70" workbookViewId="0">
      <selection activeCell="B1" sqref="B1"/>
    </sheetView>
  </sheetViews>
  <sheetFormatPr defaultRowHeight="15.75" x14ac:dyDescent="0.25"/>
  <cols>
    <col min="1" max="1" width="2.42578125" style="3" customWidth="1"/>
    <col min="2" max="2" width="4.7109375" style="3" customWidth="1"/>
    <col min="3" max="3" width="11.140625" style="3" customWidth="1"/>
    <col min="4" max="4" width="14.42578125" style="3" customWidth="1"/>
    <col min="5" max="5" width="4.7109375" style="3" customWidth="1"/>
    <col min="6" max="6" width="14" style="3" customWidth="1"/>
    <col min="7" max="7" width="4.7109375" style="3" customWidth="1"/>
    <col min="8" max="8" width="5.7109375" style="3" customWidth="1"/>
    <col min="9" max="9" width="3.7109375" style="3" customWidth="1"/>
    <col min="10" max="10" width="2.140625" style="3" customWidth="1"/>
    <col min="11" max="11" width="12.42578125" style="3" customWidth="1"/>
    <col min="12" max="12" width="1.7109375" style="3" customWidth="1"/>
    <col min="13" max="13" width="12.140625" style="3" customWidth="1"/>
    <col min="14" max="14" width="5.7109375" style="3" customWidth="1"/>
    <col min="15" max="15" width="9.42578125" style="297" hidden="1" customWidth="1"/>
    <col min="16" max="16" width="2.7109375" style="297" hidden="1" customWidth="1"/>
    <col min="17" max="17" width="9.28515625" style="297" hidden="1" customWidth="1"/>
    <col min="18" max="18" width="2.7109375" style="297" hidden="1" customWidth="1"/>
    <col min="19" max="19" width="10.5703125" style="297" hidden="1" customWidth="1"/>
    <col min="20" max="20" width="2.7109375" style="3" customWidth="1"/>
    <col min="21" max="21" width="9.140625" style="3"/>
    <col min="22" max="22" width="2.7109375" style="3" customWidth="1"/>
    <col min="23" max="16384" width="9.140625" style="3"/>
  </cols>
  <sheetData>
    <row r="1" spans="2:21" ht="30" customHeight="1" x14ac:dyDescent="0.25"/>
    <row r="2" spans="2:21" ht="15.75" customHeight="1" x14ac:dyDescent="0.25">
      <c r="B2" s="248" t="s">
        <v>364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101"/>
      <c r="O2" s="298"/>
      <c r="T2" s="6"/>
      <c r="U2" s="6"/>
    </row>
    <row r="3" spans="2:21" ht="9.75" customHeight="1" x14ac:dyDescent="0.25">
      <c r="T3" s="6"/>
      <c r="U3" s="6"/>
    </row>
    <row r="4" spans="2:21" ht="15.75" customHeight="1" x14ac:dyDescent="0.25">
      <c r="B4" s="3" t="s">
        <v>118</v>
      </c>
      <c r="T4" s="6"/>
      <c r="U4" s="6"/>
    </row>
    <row r="5" spans="2:21" ht="15.75" customHeight="1" x14ac:dyDescent="0.25">
      <c r="B5" s="10" t="s">
        <v>223</v>
      </c>
      <c r="C5" s="3" t="s">
        <v>472</v>
      </c>
      <c r="J5" s="3" t="s">
        <v>380</v>
      </c>
      <c r="K5" s="70">
        <f>Q5</f>
        <v>32000</v>
      </c>
      <c r="L5" s="70"/>
      <c r="O5" s="299" t="s">
        <v>732</v>
      </c>
      <c r="P5" s="299"/>
      <c r="Q5" s="305">
        <v>32000</v>
      </c>
      <c r="R5" s="298"/>
      <c r="S5" s="298"/>
      <c r="T5" s="6"/>
      <c r="U5" s="6"/>
    </row>
    <row r="6" spans="2:21" ht="15.75" customHeight="1" x14ac:dyDescent="0.25">
      <c r="C6" s="3" t="s">
        <v>473</v>
      </c>
      <c r="J6" s="3" t="s">
        <v>380</v>
      </c>
      <c r="K6" s="13">
        <f>Q6</f>
        <v>28000</v>
      </c>
      <c r="L6" s="13"/>
      <c r="O6" s="299" t="s">
        <v>733</v>
      </c>
      <c r="P6" s="299"/>
      <c r="Q6" s="306">
        <v>28000</v>
      </c>
      <c r="S6" s="301"/>
      <c r="T6" s="6"/>
      <c r="U6" s="6"/>
    </row>
    <row r="7" spans="2:21" ht="15.75" customHeight="1" x14ac:dyDescent="0.25">
      <c r="C7" s="3" t="s">
        <v>474</v>
      </c>
      <c r="J7" s="3" t="s">
        <v>380</v>
      </c>
      <c r="K7" s="13">
        <f>Q7</f>
        <v>60000</v>
      </c>
      <c r="L7" s="13"/>
      <c r="O7" s="299" t="s">
        <v>739</v>
      </c>
      <c r="P7" s="299"/>
      <c r="Q7" s="306">
        <v>60000</v>
      </c>
      <c r="S7" s="301"/>
      <c r="T7" s="6"/>
      <c r="U7" s="6"/>
    </row>
    <row r="8" spans="2:21" ht="15.75" customHeight="1" thickBot="1" x14ac:dyDescent="0.3">
      <c r="C8" s="3" t="s">
        <v>475</v>
      </c>
      <c r="J8" s="3" t="s">
        <v>380</v>
      </c>
      <c r="K8" s="14">
        <f>SUM(K5:K7)</f>
        <v>120000</v>
      </c>
      <c r="L8" s="9"/>
      <c r="S8" s="301"/>
      <c r="T8" s="6"/>
      <c r="U8" s="6"/>
    </row>
    <row r="9" spans="2:21" ht="9.75" customHeight="1" thickTop="1" x14ac:dyDescent="0.25">
      <c r="O9" s="307" t="s">
        <v>740</v>
      </c>
      <c r="P9" s="307"/>
      <c r="Q9" s="302" t="s">
        <v>735</v>
      </c>
      <c r="S9" s="302" t="s">
        <v>836</v>
      </c>
      <c r="T9" s="6"/>
      <c r="U9" s="6"/>
    </row>
    <row r="10" spans="2:21" ht="15.75" customHeight="1" x14ac:dyDescent="0.25">
      <c r="B10" s="10" t="s">
        <v>355</v>
      </c>
      <c r="C10" s="3" t="s">
        <v>501</v>
      </c>
      <c r="F10" s="195">
        <f>O10</f>
        <v>120000</v>
      </c>
      <c r="G10" s="12" t="str">
        <f>CONCATENATE("= ",TEXT(S10,"$#,##0"),)</f>
        <v>= $240</v>
      </c>
      <c r="H10" s="9"/>
      <c r="O10" s="301">
        <f>K8</f>
        <v>120000</v>
      </c>
      <c r="P10" s="301" t="s">
        <v>471</v>
      </c>
      <c r="Q10" s="301">
        <v>500</v>
      </c>
      <c r="R10" s="301" t="s">
        <v>468</v>
      </c>
      <c r="S10" s="301">
        <f>SUM(O10/Q10)</f>
        <v>240</v>
      </c>
      <c r="T10" s="6"/>
      <c r="U10" s="6"/>
    </row>
    <row r="11" spans="2:21" ht="15.75" customHeight="1" x14ac:dyDescent="0.25">
      <c r="B11" s="10"/>
      <c r="F11" s="4" t="str">
        <f>CONCATENATE(TEXT(Q10,"#,##0")," units")</f>
        <v>500 units</v>
      </c>
      <c r="K11" s="12"/>
      <c r="L11" s="12"/>
      <c r="T11" s="6"/>
      <c r="U11" s="6"/>
    </row>
    <row r="12" spans="2:21" ht="5.0999999999999996" customHeight="1" x14ac:dyDescent="0.25">
      <c r="B12" s="10"/>
      <c r="F12" s="4"/>
      <c r="K12" s="12"/>
      <c r="L12" s="12"/>
      <c r="T12" s="6"/>
      <c r="U12" s="6"/>
    </row>
    <row r="13" spans="2:21" ht="15.75" customHeight="1" x14ac:dyDescent="0.25">
      <c r="B13" s="10"/>
      <c r="C13" s="3" t="str">
        <f>CONCATENATE("Therefore, one hockey stick costs ",TEXT(S10,"$#,##0")," to produce.")</f>
        <v>Therefore, one hockey stick costs $240 to produce.</v>
      </c>
      <c r="F13" s="196"/>
      <c r="K13" s="12"/>
      <c r="L13" s="12"/>
      <c r="T13" s="6"/>
      <c r="U13" s="6"/>
    </row>
    <row r="14" spans="2:21" ht="15.75" customHeight="1" x14ac:dyDescent="0.25">
      <c r="T14" s="6"/>
      <c r="U14" s="6"/>
    </row>
    <row r="15" spans="2:21" ht="15.75" customHeight="1" x14ac:dyDescent="0.25">
      <c r="B15" s="3" t="s">
        <v>119</v>
      </c>
      <c r="Q15" s="298"/>
      <c r="R15" s="298"/>
      <c r="S15" s="298"/>
      <c r="T15" s="6"/>
      <c r="U15" s="6"/>
    </row>
    <row r="16" spans="2:21" ht="15.75" customHeight="1" x14ac:dyDescent="0.25">
      <c r="B16" s="10" t="s">
        <v>354</v>
      </c>
      <c r="C16" s="3" t="s">
        <v>476</v>
      </c>
      <c r="J16" s="3" t="s">
        <v>380</v>
      </c>
      <c r="K16" s="228">
        <f>Q5</f>
        <v>32000</v>
      </c>
      <c r="L16" s="5"/>
      <c r="S16" s="301"/>
      <c r="T16" s="6"/>
      <c r="U16" s="102"/>
    </row>
    <row r="17" spans="2:21" ht="15.75" customHeight="1" x14ac:dyDescent="0.25">
      <c r="C17" s="3" t="s">
        <v>473</v>
      </c>
      <c r="J17" s="3" t="s">
        <v>380</v>
      </c>
      <c r="K17" s="13">
        <f>Q6</f>
        <v>28000</v>
      </c>
      <c r="L17" s="13"/>
      <c r="S17" s="301"/>
      <c r="T17" s="6"/>
      <c r="U17" s="6"/>
    </row>
    <row r="18" spans="2:21" ht="15.75" customHeight="1" thickBot="1" x14ac:dyDescent="0.3">
      <c r="C18" s="3" t="s">
        <v>477</v>
      </c>
      <c r="J18" s="3" t="s">
        <v>380</v>
      </c>
      <c r="K18" s="14">
        <f>SUM(K16:K17)</f>
        <v>60000</v>
      </c>
      <c r="L18" s="9"/>
      <c r="S18" s="301"/>
      <c r="T18" s="6"/>
      <c r="U18" s="6"/>
    </row>
    <row r="19" spans="2:21" ht="9.75" customHeight="1" thickTop="1" x14ac:dyDescent="0.25">
      <c r="O19" s="307" t="s">
        <v>741</v>
      </c>
      <c r="P19" s="307"/>
      <c r="Q19" s="307" t="s">
        <v>742</v>
      </c>
      <c r="R19" s="300"/>
      <c r="S19" s="308" t="s">
        <v>730</v>
      </c>
      <c r="T19" s="6"/>
      <c r="U19" s="6"/>
    </row>
    <row r="20" spans="2:21" ht="15.75" customHeight="1" x14ac:dyDescent="0.25">
      <c r="B20" s="10" t="s">
        <v>355</v>
      </c>
      <c r="C20" s="3" t="s">
        <v>503</v>
      </c>
      <c r="F20" s="195">
        <f>O20</f>
        <v>60000</v>
      </c>
      <c r="G20" s="12" t="str">
        <f>CONCATENATE("= ",TEXT(S20,"$#,##0"),)</f>
        <v>= $120</v>
      </c>
      <c r="H20" s="9"/>
      <c r="K20" s="12"/>
      <c r="L20" s="12"/>
      <c r="O20" s="301">
        <f>K18</f>
        <v>60000</v>
      </c>
      <c r="P20" s="301" t="s">
        <v>471</v>
      </c>
      <c r="Q20" s="301">
        <f>Q10</f>
        <v>500</v>
      </c>
      <c r="R20" s="301" t="s">
        <v>468</v>
      </c>
      <c r="S20" s="301">
        <f>SUM(O20/Q20)</f>
        <v>120</v>
      </c>
      <c r="T20" s="6"/>
      <c r="U20" s="6"/>
    </row>
    <row r="21" spans="2:21" ht="15.75" customHeight="1" x14ac:dyDescent="0.25">
      <c r="F21" s="4" t="str">
        <f>CONCATENATE(TEXT(Q20,"#,##0")," units ")</f>
        <v xml:space="preserve">500 units </v>
      </c>
      <c r="T21" s="6"/>
      <c r="U21" s="6"/>
    </row>
    <row r="22" spans="2:21" ht="9.75" customHeight="1" x14ac:dyDescent="0.25">
      <c r="T22" s="6"/>
      <c r="U22" s="6"/>
    </row>
    <row r="23" spans="2:21" ht="15.75" customHeight="1" x14ac:dyDescent="0.25">
      <c r="B23" s="10" t="s">
        <v>356</v>
      </c>
      <c r="C23" s="3" t="s">
        <v>473</v>
      </c>
      <c r="J23" s="3" t="s">
        <v>380</v>
      </c>
      <c r="K23" s="228">
        <f>Q6</f>
        <v>28000</v>
      </c>
      <c r="L23" s="5"/>
      <c r="T23" s="6"/>
      <c r="U23" s="6"/>
    </row>
    <row r="24" spans="2:21" ht="15.75" customHeight="1" x14ac:dyDescent="0.25">
      <c r="C24" s="3" t="s">
        <v>474</v>
      </c>
      <c r="J24" s="3" t="s">
        <v>380</v>
      </c>
      <c r="K24" s="13">
        <f>Q7</f>
        <v>60000</v>
      </c>
      <c r="L24" s="13"/>
      <c r="T24" s="6"/>
      <c r="U24" s="6"/>
    </row>
    <row r="25" spans="2:21" ht="15.75" customHeight="1" thickBot="1" x14ac:dyDescent="0.3">
      <c r="C25" s="3" t="s">
        <v>500</v>
      </c>
      <c r="J25" s="3" t="s">
        <v>380</v>
      </c>
      <c r="K25" s="14">
        <f>SUM(K23:K24)</f>
        <v>88000</v>
      </c>
      <c r="L25" s="9"/>
      <c r="T25" s="6"/>
      <c r="U25" s="6"/>
    </row>
    <row r="26" spans="2:21" ht="9.75" customHeight="1" thickTop="1" x14ac:dyDescent="0.25">
      <c r="O26" s="307" t="s">
        <v>743</v>
      </c>
      <c r="P26" s="307"/>
      <c r="Q26" s="307" t="s">
        <v>742</v>
      </c>
      <c r="R26" s="300"/>
      <c r="S26" s="300" t="s">
        <v>730</v>
      </c>
      <c r="T26" s="6"/>
      <c r="U26" s="6"/>
    </row>
    <row r="27" spans="2:21" ht="15.75" customHeight="1" x14ac:dyDescent="0.25">
      <c r="B27" s="10" t="s">
        <v>357</v>
      </c>
      <c r="C27" s="3" t="s">
        <v>502</v>
      </c>
      <c r="F27" s="195">
        <f>K25</f>
        <v>88000</v>
      </c>
      <c r="G27" s="12" t="str">
        <f>CONCATENATE("= ",TEXT(S27,"$#,##0"),)</f>
        <v>= $176</v>
      </c>
      <c r="H27" s="9"/>
      <c r="K27" s="12"/>
      <c r="L27" s="12"/>
      <c r="O27" s="301">
        <f>K25</f>
        <v>88000</v>
      </c>
      <c r="P27" s="301" t="s">
        <v>471</v>
      </c>
      <c r="Q27" s="301">
        <f>Q10</f>
        <v>500</v>
      </c>
      <c r="R27" s="301" t="s">
        <v>468</v>
      </c>
      <c r="S27" s="301">
        <f>SUM(O27/Q27)</f>
        <v>176</v>
      </c>
      <c r="T27" s="6"/>
      <c r="U27" s="6"/>
    </row>
    <row r="28" spans="2:21" ht="15.75" customHeight="1" x14ac:dyDescent="0.25">
      <c r="B28" s="10"/>
      <c r="F28" s="4" t="str">
        <f>CONCATENATE(TEXT(Q27,"#,##0")," units")</f>
        <v>500 units</v>
      </c>
      <c r="K28" s="12"/>
      <c r="L28" s="12"/>
      <c r="T28" s="6"/>
      <c r="U28" s="6"/>
    </row>
    <row r="29" spans="2:21" ht="15.75" customHeight="1" x14ac:dyDescent="0.25">
      <c r="T29" s="6"/>
      <c r="U29" s="6"/>
    </row>
    <row r="30" spans="2:21" ht="15.75" customHeight="1" x14ac:dyDescent="0.25">
      <c r="B30" s="3" t="s">
        <v>120</v>
      </c>
      <c r="O30" s="299" t="s">
        <v>731</v>
      </c>
      <c r="P30" s="299"/>
      <c r="Q30" s="299"/>
      <c r="R30" s="298"/>
      <c r="S30" s="298"/>
      <c r="T30" s="6"/>
      <c r="U30" s="6"/>
    </row>
    <row r="31" spans="2:21" ht="15.75" customHeight="1" x14ac:dyDescent="0.25">
      <c r="B31" s="3" t="str">
        <f>CONCATENATE("Materials inventory, ",O31,"……………………………………………………………………………………………………..")</f>
        <v>Materials inventory, June 1……………………………………………………………………………………………………..</v>
      </c>
      <c r="L31" s="3" t="s">
        <v>380</v>
      </c>
      <c r="M31" s="202">
        <f>Q31</f>
        <v>48000</v>
      </c>
      <c r="N31" s="70"/>
      <c r="O31" s="301" t="s">
        <v>455</v>
      </c>
      <c r="Q31" s="301">
        <v>48000</v>
      </c>
    </row>
    <row r="32" spans="2:21" ht="15.75" customHeight="1" x14ac:dyDescent="0.25">
      <c r="B32" s="3" t="s">
        <v>478</v>
      </c>
      <c r="L32" s="3" t="s">
        <v>380</v>
      </c>
      <c r="M32" s="148">
        <f>Q32</f>
        <v>132000</v>
      </c>
      <c r="N32" s="13"/>
      <c r="Q32" s="301">
        <v>132000</v>
      </c>
      <c r="U32" s="6"/>
    </row>
    <row r="33" spans="2:21" ht="15.75" customHeight="1" x14ac:dyDescent="0.25">
      <c r="B33" s="3" t="str">
        <f>CONCATENATE("Materials inventory, ",O33,"…………………………………………………………………………………………………….")</f>
        <v>Materials inventory, June 30…………………………………………………………………………………………………….</v>
      </c>
      <c r="L33" s="3" t="s">
        <v>380</v>
      </c>
      <c r="M33" s="229">
        <f>Q33</f>
        <v>-45000</v>
      </c>
      <c r="N33" s="126"/>
      <c r="O33" s="301" t="s">
        <v>456</v>
      </c>
      <c r="Q33" s="301">
        <v>-45000</v>
      </c>
    </row>
    <row r="34" spans="2:21" ht="15.75" customHeight="1" x14ac:dyDescent="0.25">
      <c r="B34" s="3" t="s">
        <v>479</v>
      </c>
      <c r="L34" s="3" t="s">
        <v>380</v>
      </c>
      <c r="M34" s="160">
        <f>Q34</f>
        <v>135000</v>
      </c>
      <c r="N34" s="9"/>
      <c r="Q34" s="301">
        <f>SUM(Q31:Q33)</f>
        <v>135000</v>
      </c>
      <c r="R34" s="300" t="s">
        <v>837</v>
      </c>
      <c r="T34" s="6"/>
      <c r="U34" s="6"/>
    </row>
    <row r="35" spans="2:21" ht="15.75" customHeight="1" x14ac:dyDescent="0.25">
      <c r="T35" s="6"/>
      <c r="U35" s="6"/>
    </row>
    <row r="36" spans="2:21" ht="15.75" customHeight="1" x14ac:dyDescent="0.25"/>
    <row r="37" spans="2:21" ht="15.75" customHeight="1" x14ac:dyDescent="0.25"/>
    <row r="38" spans="2:21" ht="15.75" customHeight="1" x14ac:dyDescent="0.25"/>
    <row r="39" spans="2:21" ht="15.75" customHeight="1" x14ac:dyDescent="0.25"/>
    <row r="40" spans="2:21" ht="15.75" customHeight="1" x14ac:dyDescent="0.25"/>
    <row r="41" spans="2:21" ht="15.75" customHeight="1" x14ac:dyDescent="0.25"/>
    <row r="42" spans="2:21" ht="15.75" customHeight="1" x14ac:dyDescent="0.25"/>
    <row r="43" spans="2:21" ht="15.75" customHeight="1" x14ac:dyDescent="0.25"/>
    <row r="44" spans="2:21" ht="5.0999999999999996" customHeight="1" x14ac:dyDescent="0.25"/>
    <row r="45" spans="2:21" ht="15.75" customHeight="1" x14ac:dyDescent="0.25"/>
    <row r="46" spans="2:21" ht="15.75" customHeight="1" x14ac:dyDescent="0.25"/>
    <row r="47" spans="2:21" ht="9.75" customHeight="1" x14ac:dyDescent="0.25"/>
    <row r="48" spans="2:21" ht="15.75" customHeight="1" x14ac:dyDescent="0.25"/>
    <row r="49" ht="15.75" customHeight="1" x14ac:dyDescent="0.25"/>
    <row r="50" ht="5.0999999999999996" customHeight="1" x14ac:dyDescent="0.25"/>
    <row r="51" ht="15.75" customHeight="1" x14ac:dyDescent="0.25"/>
    <row r="52" ht="15.7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</sheetData>
  <customSheetViews>
    <customSheetView guid="{C95BCE97-951E-4C98-84AE-A423A99BB34B}" showPageBreaks="1" fitToPage="1" printArea="1" topLeftCell="A19">
      <selection activeCell="L30" sqref="L30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25" fitToPage="1" topLeftCell="A19">
      <selection activeCell="I16" sqref="I16"/>
      <pageMargins left="1" right="0.5" top="0.85" bottom="0.8" header="0.5" footer="0.35"/>
      <printOptions horizontalCentered="1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23">
      <selection activeCell="I43" sqref="I43"/>
      <pageMargins left="1" right="0.5" top="0.85" bottom="0.8" header="0.5" footer="0.35"/>
      <pageSetup scale="91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5">
    <mergeCell ref="B2:M2"/>
    <mergeCell ref="O30:Q30"/>
    <mergeCell ref="O5:P5"/>
    <mergeCell ref="O6:P6"/>
    <mergeCell ref="O7:P7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8"/>
  <sheetViews>
    <sheetView zoomScale="70" zoomScaleNormal="7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11.140625" style="3" customWidth="1"/>
    <col min="4" max="4" width="18.28515625" style="3" customWidth="1"/>
    <col min="5" max="5" width="4.7109375" style="3" customWidth="1"/>
    <col min="6" max="6" width="11" style="3" customWidth="1"/>
    <col min="7" max="7" width="4.7109375" style="3" customWidth="1"/>
    <col min="8" max="8" width="6" style="3" customWidth="1"/>
    <col min="9" max="9" width="4.7109375" style="3" customWidth="1"/>
    <col min="10" max="10" width="9.140625" style="3"/>
    <col min="11" max="11" width="1.7109375" style="3" customWidth="1"/>
    <col min="12" max="12" width="12.28515625" style="3" customWidth="1"/>
    <col min="13" max="13" width="9.140625" style="3"/>
    <col min="14" max="14" width="9.7109375" style="297" hidden="1" customWidth="1"/>
    <col min="15" max="15" width="2.7109375" style="297" hidden="1" customWidth="1"/>
    <col min="16" max="16" width="10.5703125" style="297" hidden="1" customWidth="1"/>
    <col min="17" max="17" width="2.7109375" style="297" hidden="1" customWidth="1"/>
    <col min="18" max="18" width="10.5703125" style="297" hidden="1" customWidth="1"/>
    <col min="19" max="19" width="2.7109375" style="297" hidden="1" customWidth="1"/>
    <col min="20" max="20" width="9.28515625" style="297" hidden="1" customWidth="1"/>
    <col min="21" max="16384" width="9.140625" style="3"/>
  </cols>
  <sheetData>
    <row r="1" spans="2:22" ht="30" customHeight="1" x14ac:dyDescent="0.25"/>
    <row r="2" spans="2:22" ht="15.75" customHeight="1" x14ac:dyDescent="0.25">
      <c r="B2" s="3" t="s">
        <v>121</v>
      </c>
      <c r="P2" s="302"/>
    </row>
    <row r="3" spans="2:22" ht="15.75" customHeight="1" x14ac:dyDescent="0.25">
      <c r="B3" s="10" t="s">
        <v>354</v>
      </c>
      <c r="C3" s="3" t="s">
        <v>480</v>
      </c>
      <c r="K3" s="3" t="s">
        <v>380</v>
      </c>
      <c r="L3" s="5">
        <f>T11</f>
        <v>135000</v>
      </c>
      <c r="P3" s="301">
        <f>T11</f>
        <v>135000</v>
      </c>
      <c r="Q3" s="298"/>
      <c r="R3" s="298"/>
      <c r="T3" s="301"/>
      <c r="U3" s="6"/>
      <c r="V3" s="6"/>
    </row>
    <row r="4" spans="2:22" ht="15.75" customHeight="1" x14ac:dyDescent="0.25">
      <c r="C4" s="3" t="s">
        <v>481</v>
      </c>
      <c r="K4" s="3" t="s">
        <v>380</v>
      </c>
      <c r="L4" s="13">
        <f t="shared" ref="L4:L9" si="0">P4</f>
        <v>113000</v>
      </c>
      <c r="P4" s="301">
        <v>113000</v>
      </c>
      <c r="T4" s="301"/>
      <c r="U4" s="6"/>
      <c r="V4" s="6"/>
    </row>
    <row r="5" spans="2:22" ht="15.75" customHeight="1" x14ac:dyDescent="0.25">
      <c r="C5" s="3" t="s">
        <v>482</v>
      </c>
      <c r="K5" s="3" t="s">
        <v>380</v>
      </c>
      <c r="L5" s="15">
        <f t="shared" si="0"/>
        <v>187000</v>
      </c>
      <c r="P5" s="301">
        <v>187000</v>
      </c>
      <c r="R5" s="301"/>
      <c r="U5" s="6"/>
      <c r="V5" s="6"/>
    </row>
    <row r="6" spans="2:22" ht="15.75" customHeight="1" x14ac:dyDescent="0.25">
      <c r="C6" s="3" t="s">
        <v>483</v>
      </c>
      <c r="K6" s="3" t="s">
        <v>380</v>
      </c>
      <c r="L6" s="5">
        <f t="shared" si="0"/>
        <v>435000</v>
      </c>
      <c r="N6" s="302"/>
      <c r="P6" s="301">
        <f>SUM(P3:P5)</f>
        <v>435000</v>
      </c>
      <c r="R6" s="301"/>
      <c r="U6" s="6"/>
      <c r="V6" s="6"/>
    </row>
    <row r="7" spans="2:22" ht="15.75" customHeight="1" x14ac:dyDescent="0.25">
      <c r="C7" s="104" t="str">
        <f>CONCATENATE("WIP, ",N7,"…………………………………………………………………………………………………….")</f>
        <v>WIP, June 1…………………………………………………………………………………………………….</v>
      </c>
      <c r="K7" s="3" t="s">
        <v>380</v>
      </c>
      <c r="L7" s="13">
        <f t="shared" si="0"/>
        <v>65000</v>
      </c>
      <c r="N7" s="301" t="s">
        <v>455</v>
      </c>
      <c r="P7" s="301">
        <v>65000</v>
      </c>
      <c r="R7" s="301"/>
      <c r="U7" s="6"/>
      <c r="V7" s="6"/>
    </row>
    <row r="8" spans="2:22" ht="15.75" customHeight="1" x14ac:dyDescent="0.25">
      <c r="C8" s="104" t="str">
        <f>CONCATENATE("WIP, ",N8,"…………………………………………………………………………………………………….")</f>
        <v>WIP, June 30…………………………………………………………………………………………………….</v>
      </c>
      <c r="K8" s="3" t="s">
        <v>380</v>
      </c>
      <c r="L8" s="127">
        <f t="shared" si="0"/>
        <v>-63000</v>
      </c>
      <c r="N8" s="301" t="s">
        <v>456</v>
      </c>
      <c r="P8" s="301">
        <v>-63000</v>
      </c>
      <c r="R8" s="301"/>
      <c r="U8" s="6"/>
      <c r="V8" s="6"/>
    </row>
    <row r="9" spans="2:22" ht="15.75" customHeight="1" thickBot="1" x14ac:dyDescent="0.3">
      <c r="C9" s="3" t="s">
        <v>484</v>
      </c>
      <c r="K9" s="3" t="s">
        <v>380</v>
      </c>
      <c r="L9" s="14">
        <f t="shared" si="0"/>
        <v>437000</v>
      </c>
      <c r="P9" s="301">
        <f>SUM(P6:P8)</f>
        <v>437000</v>
      </c>
      <c r="R9" s="308"/>
      <c r="T9" s="302"/>
      <c r="U9" s="6"/>
      <c r="V9" s="6"/>
    </row>
    <row r="10" spans="2:22" ht="5.0999999999999996" customHeight="1" thickTop="1" x14ac:dyDescent="0.25"/>
    <row r="11" spans="2:22" ht="15.75" customHeight="1" x14ac:dyDescent="0.25">
      <c r="B11" s="32" t="s">
        <v>366</v>
      </c>
      <c r="C11" s="2" t="str">
        <f>CONCATENATE("Direct Materials = ",TEXT(N11,"$#,##0"),O11,TEXT(P11,"$#,##0"),Q11,TEXT(R11,"$#,##0"),S11,TEXT(T11,"$#,##0"),)</f>
        <v>Direct Materials = $48,000 + $132,000 – $45,000 = $135,000</v>
      </c>
      <c r="N11" s="301">
        <v>48000</v>
      </c>
      <c r="O11" s="301" t="s">
        <v>467</v>
      </c>
      <c r="P11" s="301">
        <v>132000</v>
      </c>
      <c r="Q11" s="301" t="s">
        <v>470</v>
      </c>
      <c r="R11" s="301">
        <v>45000</v>
      </c>
      <c r="S11" s="301" t="s">
        <v>468</v>
      </c>
      <c r="T11" s="301">
        <f>SUM(N11+P11-R11)</f>
        <v>135000</v>
      </c>
    </row>
    <row r="12" spans="2:22" ht="15.75" customHeight="1" x14ac:dyDescent="0.25">
      <c r="C12" s="2" t="s">
        <v>271</v>
      </c>
    </row>
    <row r="13" spans="2:22" ht="9.75" customHeight="1" x14ac:dyDescent="0.25">
      <c r="C13" s="2"/>
      <c r="N13" s="300"/>
      <c r="P13" s="302"/>
      <c r="R13" s="308"/>
    </row>
    <row r="14" spans="2:22" ht="15.75" customHeight="1" x14ac:dyDescent="0.25">
      <c r="B14" s="10" t="s">
        <v>355</v>
      </c>
      <c r="C14" s="3" t="s">
        <v>504</v>
      </c>
      <c r="G14" s="251">
        <f>N14</f>
        <v>437000</v>
      </c>
      <c r="H14" s="251"/>
      <c r="I14" s="251"/>
      <c r="J14" s="3" t="str">
        <f>CONCATENATE(" = ",TEXT(R14,"$#,##0"),)</f>
        <v xml:space="preserve"> = $230</v>
      </c>
      <c r="N14" s="301">
        <f>L9</f>
        <v>437000</v>
      </c>
      <c r="O14" s="301" t="s">
        <v>495</v>
      </c>
      <c r="P14" s="301">
        <v>1900</v>
      </c>
      <c r="Q14" s="301" t="s">
        <v>468</v>
      </c>
      <c r="R14" s="301">
        <f>SUM(N14/P14)</f>
        <v>230</v>
      </c>
    </row>
    <row r="15" spans="2:22" ht="15.75" customHeight="1" x14ac:dyDescent="0.25">
      <c r="B15" s="10"/>
      <c r="G15" s="252" t="str">
        <f>CONCATENATE(TEXT(P14,"#,##0")," units")</f>
        <v>1,900 units</v>
      </c>
      <c r="H15" s="252"/>
      <c r="I15" s="252"/>
    </row>
    <row r="16" spans="2:22" ht="15.75" customHeight="1" x14ac:dyDescent="0.25">
      <c r="B16" s="3" t="s">
        <v>103</v>
      </c>
      <c r="G16" s="4"/>
      <c r="H16" s="4"/>
      <c r="I16" s="4"/>
    </row>
    <row r="17" spans="2:23" ht="5.0999999999999996" customHeight="1" thickBot="1" x14ac:dyDescent="0.3"/>
    <row r="18" spans="2:23" ht="15.75" customHeight="1" x14ac:dyDescent="0.25">
      <c r="B18" s="10" t="s">
        <v>354</v>
      </c>
      <c r="C18" s="253" t="s">
        <v>346</v>
      </c>
      <c r="D18" s="253"/>
      <c r="E18" s="253"/>
      <c r="F18" s="253"/>
      <c r="G18" s="253"/>
      <c r="H18" s="253"/>
      <c r="I18" s="253"/>
      <c r="J18" s="253"/>
      <c r="K18" s="253"/>
      <c r="L18" s="253"/>
      <c r="U18" s="6"/>
      <c r="V18" s="6"/>
      <c r="W18" s="6"/>
    </row>
    <row r="19" spans="2:23" ht="15.75" customHeight="1" x14ac:dyDescent="0.25">
      <c r="C19" s="254" t="s">
        <v>347</v>
      </c>
      <c r="D19" s="254"/>
      <c r="E19" s="254"/>
      <c r="F19" s="254"/>
      <c r="G19" s="254"/>
      <c r="H19" s="254"/>
      <c r="I19" s="254"/>
      <c r="J19" s="254"/>
      <c r="K19" s="254"/>
      <c r="L19" s="254"/>
      <c r="N19" s="302"/>
      <c r="U19" s="6"/>
      <c r="V19" s="6"/>
      <c r="W19" s="6"/>
    </row>
    <row r="20" spans="2:23" ht="15.75" customHeight="1" thickBot="1" x14ac:dyDescent="0.3">
      <c r="C20" s="250" t="str">
        <f>CONCATENATE("For the Month of ",N20)</f>
        <v>For the Month of June</v>
      </c>
      <c r="D20" s="250"/>
      <c r="E20" s="250"/>
      <c r="F20" s="250"/>
      <c r="G20" s="250"/>
      <c r="H20" s="250"/>
      <c r="I20" s="250"/>
      <c r="J20" s="250"/>
      <c r="K20" s="250"/>
      <c r="L20" s="250"/>
      <c r="N20" s="301" t="s">
        <v>457</v>
      </c>
      <c r="O20" s="301"/>
      <c r="U20" s="6"/>
      <c r="V20" s="6"/>
      <c r="W20" s="6"/>
    </row>
    <row r="21" spans="2:23" ht="5.0999999999999996" customHeight="1" x14ac:dyDescent="0.25">
      <c r="U21" s="6"/>
      <c r="V21" s="6"/>
      <c r="W21" s="6"/>
    </row>
    <row r="22" spans="2:23" ht="15.75" customHeight="1" x14ac:dyDescent="0.25">
      <c r="C22" s="3" t="s">
        <v>485</v>
      </c>
      <c r="K22" s="3" t="s">
        <v>380</v>
      </c>
      <c r="L22" s="5">
        <f>L9</f>
        <v>437000</v>
      </c>
      <c r="N22" s="298"/>
      <c r="O22" s="298"/>
      <c r="P22" s="301">
        <f>P9</f>
        <v>437000</v>
      </c>
      <c r="Q22" s="298"/>
      <c r="R22" s="309"/>
      <c r="S22" s="298"/>
      <c r="T22" s="298"/>
      <c r="U22" s="41"/>
      <c r="V22" s="6"/>
      <c r="W22" s="6"/>
    </row>
    <row r="23" spans="2:23" ht="15.75" customHeight="1" x14ac:dyDescent="0.25">
      <c r="C23" s="3" t="str">
        <f>CONCATENATE("Finished goods inventory, ",N23,"…………………………………….…………………………………………….……………………………………..")</f>
        <v>Finished goods inventory, June 1…………………………………….…………………………………………….……………………………………..</v>
      </c>
      <c r="K23" s="3" t="s">
        <v>380</v>
      </c>
      <c r="L23" s="13">
        <f>P23</f>
        <v>80000</v>
      </c>
      <c r="N23" s="301" t="s">
        <v>455</v>
      </c>
      <c r="O23" s="301"/>
      <c r="P23" s="301">
        <v>80000</v>
      </c>
      <c r="R23" s="309"/>
      <c r="S23" s="301"/>
      <c r="T23" s="301"/>
      <c r="U23" s="6"/>
      <c r="V23" s="6"/>
      <c r="W23" s="6"/>
    </row>
    <row r="24" spans="2:23" ht="15.75" customHeight="1" x14ac:dyDescent="0.25">
      <c r="C24" s="3" t="str">
        <f>CONCATENATE("Finished goods inventory, ",N24,"…………………………………….…………………………………………….……………………………………")</f>
        <v>Finished goods inventory, June 30…………………………………….…………………………………………….……………………………………</v>
      </c>
      <c r="K24" s="3" t="s">
        <v>380</v>
      </c>
      <c r="L24" s="56">
        <f>P24</f>
        <v>-84000</v>
      </c>
      <c r="N24" s="301" t="s">
        <v>456</v>
      </c>
      <c r="O24" s="301"/>
      <c r="P24" s="301">
        <v>-84000</v>
      </c>
      <c r="R24" s="309"/>
      <c r="S24" s="301"/>
      <c r="T24" s="301"/>
      <c r="U24" s="6"/>
      <c r="V24" s="6"/>
      <c r="W24" s="6"/>
    </row>
    <row r="25" spans="2:23" ht="15.75" customHeight="1" thickBot="1" x14ac:dyDescent="0.3">
      <c r="C25" s="3" t="s">
        <v>486</v>
      </c>
      <c r="K25" s="3" t="s">
        <v>380</v>
      </c>
      <c r="L25" s="14">
        <f>P25</f>
        <v>433000</v>
      </c>
      <c r="P25" s="301">
        <f>SUM(P22:P24)</f>
        <v>433000</v>
      </c>
      <c r="R25" s="309"/>
      <c r="S25" s="301"/>
      <c r="T25" s="301"/>
      <c r="U25" s="6"/>
      <c r="V25" s="6"/>
      <c r="W25" s="6"/>
    </row>
    <row r="26" spans="2:23" ht="9.75" customHeight="1" thickTop="1" x14ac:dyDescent="0.25">
      <c r="U26" s="6"/>
      <c r="V26" s="6"/>
      <c r="W26" s="6"/>
    </row>
    <row r="27" spans="2:23" ht="15.75" customHeight="1" x14ac:dyDescent="0.25">
      <c r="B27" s="10" t="s">
        <v>355</v>
      </c>
      <c r="C27" s="3" t="s">
        <v>348</v>
      </c>
      <c r="U27" s="6"/>
      <c r="V27" s="6"/>
      <c r="W27" s="6"/>
    </row>
    <row r="28" spans="2:23" ht="15.75" customHeight="1" x14ac:dyDescent="0.25">
      <c r="C28" s="3" t="str">
        <f>CONCATENATE("Finished goods inventory, ",N23,"…………………………………….…………………………………………….……………………………………..")</f>
        <v>Finished goods inventory, June 1…………………………………….…………………………………………….……………………………………..</v>
      </c>
      <c r="K28" s="3" t="s">
        <v>380</v>
      </c>
      <c r="L28" s="13">
        <f>P28</f>
        <v>350</v>
      </c>
      <c r="P28" s="301">
        <v>350</v>
      </c>
      <c r="R28" s="300"/>
      <c r="U28" s="6"/>
      <c r="V28" s="6"/>
      <c r="W28" s="6"/>
    </row>
    <row r="29" spans="2:23" ht="15.75" customHeight="1" x14ac:dyDescent="0.25">
      <c r="C29" s="3" t="str">
        <f>CONCATENATE("Units finished during ",N20,"………………………………………….…………………………………………….…………………………………………")</f>
        <v>Units finished during June………………………………………….…………………………………………….…………………………………………</v>
      </c>
      <c r="K29" s="3" t="s">
        <v>380</v>
      </c>
      <c r="L29" s="13">
        <f>P29</f>
        <v>1900</v>
      </c>
      <c r="P29" s="301">
        <f>P14</f>
        <v>1900</v>
      </c>
      <c r="R29" s="300"/>
      <c r="U29" s="6"/>
      <c r="V29" s="6"/>
      <c r="W29" s="6"/>
    </row>
    <row r="30" spans="2:23" ht="15.75" customHeight="1" x14ac:dyDescent="0.25">
      <c r="C30" s="3" t="str">
        <f>CONCATENATE("Finished goods inventory, ",N24,"…………………………………….…………………………………………….……………………………………")</f>
        <v>Finished goods inventory, June 30…………………………………….…………………………………………….……………………………………</v>
      </c>
      <c r="K30" s="3" t="s">
        <v>380</v>
      </c>
      <c r="L30" s="56">
        <f>P30</f>
        <v>-370</v>
      </c>
      <c r="P30" s="301">
        <v>-370</v>
      </c>
      <c r="R30" s="300"/>
      <c r="U30" s="6"/>
      <c r="V30" s="6"/>
      <c r="W30" s="6"/>
    </row>
    <row r="31" spans="2:23" ht="15.75" customHeight="1" thickBot="1" x14ac:dyDescent="0.3">
      <c r="C31" s="3" t="str">
        <f>CONCATENATE("Units sold during ",N20,"……………………………………………….…………………………………………….………………………………………..")</f>
        <v>Units sold during June……………………………………………….…………………………………………….………………………………………..</v>
      </c>
      <c r="K31" s="3" t="s">
        <v>380</v>
      </c>
      <c r="L31" s="18">
        <f>P31</f>
        <v>1880</v>
      </c>
      <c r="P31" s="301">
        <f>SUM(P28:P30)</f>
        <v>1880</v>
      </c>
      <c r="R31" s="300"/>
      <c r="U31" s="6"/>
      <c r="V31" s="6"/>
      <c r="W31" s="6"/>
    </row>
    <row r="32" spans="2:23" ht="9.75" customHeight="1" thickTop="1" thickBot="1" x14ac:dyDescent="0.3">
      <c r="C32" s="7"/>
      <c r="D32" s="7"/>
      <c r="E32" s="7"/>
      <c r="F32" s="7"/>
      <c r="G32" s="7"/>
      <c r="H32" s="7"/>
      <c r="I32" s="7"/>
      <c r="J32" s="7"/>
      <c r="K32" s="7"/>
      <c r="L32" s="7"/>
      <c r="U32" s="6"/>
      <c r="V32" s="6"/>
      <c r="W32" s="6"/>
    </row>
    <row r="33" spans="3:23" ht="15.75" customHeight="1" x14ac:dyDescent="0.25">
      <c r="U33" s="6"/>
      <c r="V33" s="6"/>
      <c r="W33" s="6"/>
    </row>
    <row r="34" spans="3:23" ht="15.75" customHeight="1" x14ac:dyDescent="0.25">
      <c r="U34" s="6"/>
      <c r="V34" s="6"/>
      <c r="W34" s="6"/>
    </row>
    <row r="35" spans="3:23" ht="5.0999999999999996" customHeight="1" x14ac:dyDescent="0.25">
      <c r="U35" s="6"/>
      <c r="V35" s="6"/>
      <c r="W35" s="6"/>
    </row>
    <row r="36" spans="3:23" ht="15.75" customHeight="1" x14ac:dyDescent="0.25">
      <c r="C36" s="41"/>
      <c r="D36" s="41"/>
      <c r="E36" s="41"/>
      <c r="F36" s="41"/>
      <c r="G36" s="41"/>
      <c r="H36" s="41"/>
      <c r="I36" s="41"/>
      <c r="J36" s="41"/>
      <c r="K36" s="41"/>
      <c r="L36" s="41"/>
      <c r="U36" s="6"/>
      <c r="V36" s="6"/>
      <c r="W36" s="6"/>
    </row>
    <row r="37" spans="3:23" ht="15.75" customHeight="1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6"/>
      <c r="U37" s="6"/>
      <c r="V37" s="6"/>
      <c r="W37" s="6"/>
    </row>
    <row r="38" spans="3:23" ht="15.75" customHeight="1" x14ac:dyDescent="0.25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6"/>
      <c r="N38" s="301"/>
      <c r="O38" s="301"/>
      <c r="P38" s="298"/>
      <c r="Q38" s="298"/>
      <c r="R38" s="298"/>
      <c r="S38" s="298"/>
      <c r="U38" s="6"/>
      <c r="V38" s="6"/>
      <c r="W38" s="6"/>
    </row>
    <row r="39" spans="3:23" ht="5.0999999999999996" customHeight="1" x14ac:dyDescent="0.25">
      <c r="J39" s="6"/>
      <c r="K39" s="6"/>
      <c r="L39" s="6"/>
      <c r="M39" s="6"/>
      <c r="N39" s="298"/>
      <c r="O39" s="298"/>
      <c r="P39" s="298"/>
      <c r="Q39" s="298"/>
      <c r="R39" s="298"/>
      <c r="S39" s="298"/>
      <c r="U39" s="6"/>
      <c r="V39" s="6"/>
      <c r="W39" s="6"/>
    </row>
    <row r="40" spans="3:23" ht="15.75" customHeight="1" x14ac:dyDescent="0.25">
      <c r="J40" s="45"/>
      <c r="K40" s="45"/>
      <c r="L40" s="9"/>
      <c r="M40" s="6"/>
      <c r="N40" s="301"/>
      <c r="O40" s="301"/>
      <c r="P40" s="301"/>
      <c r="Q40" s="301"/>
      <c r="R40" s="301"/>
      <c r="U40" s="6"/>
      <c r="V40" s="6"/>
      <c r="W40" s="6"/>
    </row>
    <row r="41" spans="3:23" ht="15.75" customHeight="1" x14ac:dyDescent="0.25">
      <c r="J41" s="45"/>
      <c r="K41" s="45"/>
      <c r="L41" s="20"/>
      <c r="M41" s="6"/>
      <c r="N41" s="301"/>
      <c r="U41" s="6"/>
      <c r="V41" s="6"/>
      <c r="W41" s="6"/>
    </row>
    <row r="42" spans="3:23" ht="15.75" customHeight="1" x14ac:dyDescent="0.25">
      <c r="C42" s="104"/>
      <c r="J42" s="45"/>
      <c r="K42" s="45"/>
      <c r="L42" s="150"/>
      <c r="M42" s="6"/>
      <c r="S42" s="310"/>
      <c r="U42" s="6"/>
      <c r="V42" s="6"/>
      <c r="W42" s="6"/>
    </row>
    <row r="43" spans="3:23" ht="5.0999999999999996" customHeight="1" x14ac:dyDescent="0.25">
      <c r="C43" s="104"/>
      <c r="J43" s="45"/>
      <c r="K43" s="45"/>
      <c r="L43" s="150"/>
      <c r="M43" s="6"/>
      <c r="S43" s="310"/>
      <c r="U43" s="6"/>
      <c r="V43" s="6"/>
      <c r="W43" s="6"/>
    </row>
    <row r="44" spans="3:23" ht="15.75" customHeight="1" x14ac:dyDescent="0.25">
      <c r="J44" s="6"/>
      <c r="K44" s="6"/>
      <c r="L44" s="6"/>
      <c r="M44" s="6"/>
      <c r="S44" s="301"/>
      <c r="U44" s="6"/>
      <c r="V44" s="6"/>
      <c r="W44" s="6"/>
    </row>
    <row r="45" spans="3:23" ht="15.75" customHeight="1" x14ac:dyDescent="0.25">
      <c r="C45" s="50"/>
      <c r="J45" s="6"/>
      <c r="K45" s="6"/>
      <c r="L45" s="6"/>
      <c r="M45" s="6"/>
      <c r="S45" s="301"/>
      <c r="U45" s="6"/>
      <c r="V45" s="6"/>
      <c r="W45" s="6"/>
    </row>
    <row r="46" spans="3:23" ht="15.75" customHeight="1" x14ac:dyDescent="0.25">
      <c r="C46" s="104"/>
      <c r="J46" s="9"/>
      <c r="K46" s="6"/>
      <c r="L46" s="6"/>
      <c r="M46" s="6"/>
      <c r="N46" s="310"/>
      <c r="O46" s="301"/>
      <c r="P46" s="301"/>
      <c r="Q46" s="301"/>
      <c r="R46" s="301"/>
      <c r="S46" s="301"/>
      <c r="U46" s="6"/>
      <c r="V46" s="6"/>
      <c r="W46" s="6"/>
    </row>
    <row r="47" spans="3:23" ht="15.75" customHeight="1" x14ac:dyDescent="0.25">
      <c r="C47" s="104"/>
      <c r="J47" s="20"/>
      <c r="K47" s="6"/>
      <c r="L47" s="20"/>
      <c r="M47" s="6"/>
      <c r="N47" s="301"/>
      <c r="U47" s="6"/>
      <c r="V47" s="6"/>
      <c r="W47" s="6"/>
    </row>
    <row r="48" spans="3:23" ht="15.75" customHeight="1" x14ac:dyDescent="0.25">
      <c r="C48" s="50"/>
      <c r="D48" s="50"/>
      <c r="J48" s="45"/>
      <c r="K48" s="45"/>
      <c r="L48" s="20"/>
      <c r="M48" s="6"/>
      <c r="N48" s="301"/>
      <c r="U48" s="6"/>
      <c r="V48" s="6"/>
      <c r="W48" s="6"/>
    </row>
    <row r="49" spans="3:23" ht="15.75" customHeight="1" x14ac:dyDescent="0.25">
      <c r="C49" s="105"/>
      <c r="D49" s="6"/>
      <c r="E49" s="6"/>
      <c r="F49" s="6"/>
      <c r="G49" s="6"/>
      <c r="H49" s="6"/>
      <c r="I49" s="6"/>
      <c r="J49" s="45"/>
      <c r="K49" s="45"/>
      <c r="L49" s="151"/>
      <c r="M49" s="6"/>
      <c r="U49" s="6"/>
      <c r="V49" s="6"/>
      <c r="W49" s="6"/>
    </row>
    <row r="50" spans="3:23" ht="9.75" customHeight="1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U50" s="6"/>
      <c r="V50" s="6"/>
      <c r="W50" s="6"/>
    </row>
    <row r="51" spans="3:23" ht="5.0999999999999996" customHeight="1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U51" s="6"/>
      <c r="V51" s="6"/>
      <c r="W51" s="6"/>
    </row>
    <row r="52" spans="3:23" ht="15.75" customHeight="1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U52" s="6"/>
    </row>
    <row r="53" spans="3:23" ht="15.75" customHeight="1" x14ac:dyDescent="0.25">
      <c r="C53" s="6"/>
      <c r="D53" s="6"/>
      <c r="E53" s="6"/>
      <c r="F53" s="6"/>
      <c r="G53" s="6"/>
      <c r="H53" s="6"/>
      <c r="I53" s="6"/>
      <c r="J53" s="6"/>
    </row>
    <row r="54" spans="3:23" ht="15.75" customHeight="1" x14ac:dyDescent="0.25"/>
    <row r="55" spans="3:23" ht="15.75" customHeight="1" x14ac:dyDescent="0.25"/>
    <row r="56" spans="3:23" ht="15.75" customHeight="1" x14ac:dyDescent="0.25"/>
    <row r="57" spans="3:23" ht="15" customHeight="1" x14ac:dyDescent="0.25"/>
    <row r="58" spans="3:23" ht="15" customHeight="1" x14ac:dyDescent="0.25"/>
    <row r="59" spans="3:23" ht="15" customHeight="1" x14ac:dyDescent="0.25"/>
    <row r="60" spans="3:23" ht="15" customHeight="1" x14ac:dyDescent="0.25"/>
    <row r="61" spans="3:23" ht="15" customHeight="1" x14ac:dyDescent="0.25"/>
    <row r="62" spans="3:23" ht="15" customHeight="1" x14ac:dyDescent="0.25"/>
    <row r="63" spans="3:23" ht="15" customHeight="1" x14ac:dyDescent="0.25"/>
    <row r="64" spans="3:2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</sheetData>
  <customSheetViews>
    <customSheetView guid="{C95BCE97-951E-4C98-84AE-A423A99BB34B}" showPageBreaks="1" fitToPage="1" printArea="1">
      <selection activeCell="K31" sqref="K31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0.5" right="1" top="0.85" bottom="0.8" header="0.5" footer="0.35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50" fitToPage="1" topLeftCell="A19">
      <selection activeCell="N30" sqref="N30"/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31">
      <selection activeCell="K9" sqref="K9"/>
      <pageMargins left="0.5" right="1" top="0.85" bottom="0.8" header="0.5" footer="0.35"/>
      <pageSetup scale="94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5">
    <mergeCell ref="C20:L20"/>
    <mergeCell ref="G14:I14"/>
    <mergeCell ref="G15:I15"/>
    <mergeCell ref="C18:L18"/>
    <mergeCell ref="C19:L19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2"/>
  <sheetViews>
    <sheetView zoomScale="70" zoomScaleNormal="70" workbookViewId="0">
      <selection activeCell="B1" sqref="B1"/>
    </sheetView>
  </sheetViews>
  <sheetFormatPr defaultRowHeight="15.75" x14ac:dyDescent="0.25"/>
  <cols>
    <col min="1" max="1" width="2.140625" style="3" customWidth="1"/>
    <col min="2" max="2" width="4.7109375" style="3" customWidth="1"/>
    <col min="3" max="3" width="2.7109375" style="3" customWidth="1"/>
    <col min="4" max="4" width="6.42578125" style="3" customWidth="1"/>
    <col min="5" max="5" width="5.85546875" style="3" customWidth="1"/>
    <col min="6" max="6" width="3.85546875" style="3" customWidth="1"/>
    <col min="7" max="7" width="25" style="3" customWidth="1"/>
    <col min="8" max="8" width="2" style="3" customWidth="1"/>
    <col min="9" max="9" width="11.7109375" style="3" customWidth="1"/>
    <col min="10" max="10" width="1.42578125" style="3" customWidth="1"/>
    <col min="11" max="11" width="12.42578125" style="3" customWidth="1"/>
    <col min="12" max="12" width="2.42578125" style="3" customWidth="1"/>
    <col min="13" max="13" width="13" style="3" customWidth="1"/>
    <col min="14" max="14" width="9.140625" style="3"/>
    <col min="15" max="15" width="10.42578125" style="297" hidden="1" customWidth="1"/>
    <col min="16" max="16" width="2.7109375" style="297" hidden="1" customWidth="1"/>
    <col min="17" max="17" width="10.42578125" style="297" hidden="1" customWidth="1"/>
    <col min="18" max="18" width="2.7109375" style="297" hidden="1" customWidth="1"/>
    <col min="19" max="19" width="10.42578125" style="297" hidden="1" customWidth="1"/>
    <col min="20" max="20" width="4.42578125" style="297" hidden="1" customWidth="1"/>
    <col min="21" max="21" width="8.7109375" style="297" hidden="1" customWidth="1"/>
    <col min="22" max="16384" width="9.140625" style="3"/>
  </cols>
  <sheetData>
    <row r="1" spans="2:19" ht="30" customHeight="1" x14ac:dyDescent="0.25"/>
    <row r="2" spans="2:19" ht="15.75" customHeight="1" x14ac:dyDescent="0.25">
      <c r="B2" s="3" t="s">
        <v>100</v>
      </c>
    </row>
    <row r="3" spans="2:19" ht="5.0999999999999996" customHeight="1" thickBot="1" x14ac:dyDescent="0.3"/>
    <row r="4" spans="2:19" ht="15.75" customHeight="1" x14ac:dyDescent="0.25">
      <c r="C4" s="253" t="s">
        <v>346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</row>
    <row r="5" spans="2:19" ht="15.75" customHeight="1" x14ac:dyDescent="0.25">
      <c r="C5" s="254" t="s">
        <v>349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O5" s="299"/>
      <c r="P5" s="299"/>
      <c r="Q5" s="299"/>
      <c r="S5" s="302"/>
    </row>
    <row r="6" spans="2:19" ht="15.75" customHeight="1" thickBot="1" x14ac:dyDescent="0.3">
      <c r="C6" s="250" t="str">
        <f>CONCATENATE("For the Month of ",O6)</f>
        <v>For the Month of June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O6" s="301" t="s">
        <v>457</v>
      </c>
      <c r="P6" s="301"/>
      <c r="Q6" s="298"/>
      <c r="R6" s="298"/>
      <c r="S6" s="298"/>
    </row>
    <row r="7" spans="2:19" ht="5.0999999999999996" customHeight="1" x14ac:dyDescent="0.25">
      <c r="O7" s="298"/>
      <c r="P7" s="298"/>
      <c r="Q7" s="298"/>
      <c r="R7" s="298"/>
      <c r="S7" s="298"/>
    </row>
    <row r="8" spans="2:19" ht="15.75" customHeight="1" x14ac:dyDescent="0.25">
      <c r="C8" s="3" t="str">
        <f>CONCATENATE("Sales revenue (",TEXT(O8,"#,##0"),P8,TEXT(Q8,"$#,##0"),")………………………………………….…………………………………………….………………………………….………………….")</f>
        <v>Sales revenue (1,880 × $400)………………………………………….…………………………………………….………………………………….………………….</v>
      </c>
      <c r="J8" s="3" t="s">
        <v>380</v>
      </c>
      <c r="K8" s="66" t="s">
        <v>380</v>
      </c>
      <c r="L8" s="66"/>
      <c r="M8" s="5">
        <f>S8</f>
        <v>752000</v>
      </c>
      <c r="O8" s="301">
        <v>1880</v>
      </c>
      <c r="P8" s="301" t="s">
        <v>469</v>
      </c>
      <c r="Q8" s="301">
        <v>400</v>
      </c>
      <c r="R8" s="301" t="s">
        <v>468</v>
      </c>
      <c r="S8" s="301">
        <f>SUM(O8*Q8)</f>
        <v>752000</v>
      </c>
    </row>
    <row r="9" spans="2:19" ht="15.75" customHeight="1" x14ac:dyDescent="0.25">
      <c r="C9" s="3" t="s">
        <v>487</v>
      </c>
      <c r="J9" s="3" t="s">
        <v>380</v>
      </c>
      <c r="K9" s="66" t="s">
        <v>380</v>
      </c>
      <c r="L9" s="66"/>
      <c r="M9" s="15">
        <f>O9</f>
        <v>433000</v>
      </c>
      <c r="O9" s="301">
        <v>433000</v>
      </c>
    </row>
    <row r="10" spans="2:19" ht="15.75" customHeight="1" x14ac:dyDescent="0.25">
      <c r="C10" s="104" t="s">
        <v>451</v>
      </c>
      <c r="J10" s="3" t="s">
        <v>380</v>
      </c>
      <c r="K10" s="66" t="s">
        <v>380</v>
      </c>
      <c r="L10" s="66"/>
      <c r="M10" s="5">
        <f>M8-M9</f>
        <v>319000</v>
      </c>
    </row>
    <row r="11" spans="2:19" ht="5.0999999999999996" customHeight="1" x14ac:dyDescent="0.25">
      <c r="C11" s="104"/>
      <c r="K11" s="66"/>
      <c r="L11" s="66"/>
      <c r="M11" s="88"/>
    </row>
    <row r="12" spans="2:19" ht="15.75" customHeight="1" x14ac:dyDescent="0.25">
      <c r="C12" s="3" t="s">
        <v>350</v>
      </c>
    </row>
    <row r="13" spans="2:19" ht="15.75" customHeight="1" x14ac:dyDescent="0.25">
      <c r="C13" s="104" t="s">
        <v>351</v>
      </c>
      <c r="D13" s="104"/>
      <c r="E13" s="104"/>
      <c r="O13" s="307"/>
      <c r="P13" s="307"/>
      <c r="Q13" s="307"/>
      <c r="R13" s="300"/>
      <c r="S13" s="300"/>
    </row>
    <row r="14" spans="2:19" ht="15.75" customHeight="1" x14ac:dyDescent="0.25">
      <c r="C14" s="106" t="str">
        <f>CONCATENATE("Commissions (",TEXT(O14,"0.#0"),P14,TEXT(Q14,"$#,##0"),")……………………………………...………………………………………….…………………………………………….……………………………...……",)</f>
        <v>Commissions (0.10 × $752,000)……………………………………...………………………………………….…………………………………………….……………………………...……</v>
      </c>
      <c r="D14" s="104"/>
      <c r="E14" s="104"/>
      <c r="J14" s="3" t="s">
        <v>380</v>
      </c>
      <c r="K14" s="5">
        <f>S14</f>
        <v>75200</v>
      </c>
      <c r="O14" s="310">
        <v>0.1</v>
      </c>
      <c r="P14" s="301" t="s">
        <v>469</v>
      </c>
      <c r="Q14" s="301">
        <f>S8</f>
        <v>752000</v>
      </c>
      <c r="R14" s="301" t="s">
        <v>468</v>
      </c>
      <c r="S14" s="301">
        <f>SUM(O14*Q14)</f>
        <v>75200</v>
      </c>
    </row>
    <row r="15" spans="2:19" ht="15.75" customHeight="1" x14ac:dyDescent="0.25">
      <c r="C15" s="106" t="s">
        <v>488</v>
      </c>
      <c r="D15" s="104"/>
      <c r="E15" s="104"/>
      <c r="J15" s="3" t="s">
        <v>380</v>
      </c>
      <c r="K15" s="15">
        <f>O15</f>
        <v>65000</v>
      </c>
      <c r="M15" s="13">
        <f>SUM(K14:K15)</f>
        <v>140200</v>
      </c>
      <c r="O15" s="301">
        <v>65000</v>
      </c>
    </row>
    <row r="16" spans="2:19" ht="15.75" customHeight="1" x14ac:dyDescent="0.25">
      <c r="C16" s="104" t="s">
        <v>489</v>
      </c>
      <c r="D16" s="104"/>
      <c r="E16" s="104"/>
      <c r="J16" s="3" t="s">
        <v>380</v>
      </c>
      <c r="K16" s="66" t="s">
        <v>380</v>
      </c>
      <c r="L16" s="66"/>
      <c r="M16" s="15">
        <f>O16</f>
        <v>53800</v>
      </c>
      <c r="O16" s="301">
        <v>53800</v>
      </c>
    </row>
    <row r="17" spans="2:19" ht="15.75" customHeight="1" thickBot="1" x14ac:dyDescent="0.3">
      <c r="C17" s="174" t="s">
        <v>452</v>
      </c>
      <c r="D17" s="105"/>
      <c r="E17" s="105"/>
      <c r="F17" s="6"/>
      <c r="G17" s="6"/>
      <c r="H17" s="6"/>
      <c r="I17" s="6"/>
      <c r="J17" s="6" t="s">
        <v>380</v>
      </c>
      <c r="K17" s="45" t="s">
        <v>380</v>
      </c>
      <c r="L17" s="45"/>
      <c r="M17" s="185">
        <f>M10-M15-M16</f>
        <v>125000</v>
      </c>
    </row>
    <row r="18" spans="2:19" ht="9.75" customHeight="1" thickTop="1" thickBot="1" x14ac:dyDescent="0.3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9" ht="15.75" customHeight="1" x14ac:dyDescent="0.25"/>
    <row r="20" spans="2:19" ht="15.75" customHeight="1" x14ac:dyDescent="0.25">
      <c r="B20" s="3" t="s">
        <v>101</v>
      </c>
    </row>
    <row r="21" spans="2:19" ht="5.0999999999999996" customHeight="1" thickBot="1" x14ac:dyDescent="0.3"/>
    <row r="22" spans="2:19" ht="15.75" customHeight="1" x14ac:dyDescent="0.25">
      <c r="C22" s="253" t="s">
        <v>346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</row>
    <row r="23" spans="2:19" ht="15.75" customHeight="1" x14ac:dyDescent="0.25">
      <c r="C23" s="254" t="s">
        <v>349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O23" s="299"/>
      <c r="P23" s="299"/>
      <c r="Q23" s="299"/>
      <c r="R23" s="300"/>
      <c r="S23" s="300"/>
    </row>
    <row r="24" spans="2:19" ht="15.75" customHeight="1" thickBot="1" x14ac:dyDescent="0.3">
      <c r="C24" s="250" t="str">
        <f>CONCATENATE("For the Month of ",O24)</f>
        <v>For the Month of June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O24" s="301" t="s">
        <v>457</v>
      </c>
      <c r="P24" s="298"/>
      <c r="Q24" s="298"/>
    </row>
    <row r="25" spans="2:19" ht="5.0999999999999996" customHeight="1" x14ac:dyDescent="0.25">
      <c r="O25" s="298"/>
      <c r="P25" s="298"/>
      <c r="Q25" s="298"/>
    </row>
    <row r="26" spans="2:19" ht="15.75" customHeight="1" x14ac:dyDescent="0.25">
      <c r="M26" s="4" t="s">
        <v>353</v>
      </c>
    </row>
    <row r="27" spans="2:19" ht="15.75" customHeight="1" x14ac:dyDescent="0.25">
      <c r="C27" s="3" t="str">
        <f>CONCATENATE("Sales revenue (",TEXT(O27,"#,##0"),P27,TEXT(Q27,"$#,##0"),")…………………………………………………………...………………………………………...…………………………………………………………...….")</f>
        <v>Sales revenue (1,880 × $400)…………………………………………………………...………………………………………...…………………………………………………………...….</v>
      </c>
      <c r="H27" s="3" t="s">
        <v>380</v>
      </c>
      <c r="I27" s="66" t="s">
        <v>380</v>
      </c>
      <c r="J27" s="66"/>
      <c r="K27" s="5">
        <f>S27</f>
        <v>752000</v>
      </c>
      <c r="M27" s="21">
        <f>SUM(K27/K27*100)</f>
        <v>100</v>
      </c>
      <c r="O27" s="301">
        <v>1880</v>
      </c>
      <c r="P27" s="301" t="s">
        <v>469</v>
      </c>
      <c r="Q27" s="301">
        <v>400</v>
      </c>
      <c r="R27" s="301" t="s">
        <v>468</v>
      </c>
      <c r="S27" s="301">
        <f>SUM(O27*Q27)</f>
        <v>752000</v>
      </c>
    </row>
    <row r="28" spans="2:19" ht="15.75" customHeight="1" x14ac:dyDescent="0.25">
      <c r="C28" s="3" t="s">
        <v>490</v>
      </c>
      <c r="H28" s="3" t="s">
        <v>380</v>
      </c>
      <c r="I28" s="66" t="s">
        <v>380</v>
      </c>
      <c r="J28" s="66"/>
      <c r="K28" s="15">
        <f>O28</f>
        <v>433000</v>
      </c>
      <c r="M28" s="23">
        <f>SUM(K28/K27*100)</f>
        <v>57.579787234042556</v>
      </c>
      <c r="O28" s="301">
        <v>433000</v>
      </c>
    </row>
    <row r="29" spans="2:19" ht="15.75" customHeight="1" x14ac:dyDescent="0.25">
      <c r="C29" s="104" t="s">
        <v>491</v>
      </c>
      <c r="H29" s="3" t="s">
        <v>380</v>
      </c>
      <c r="I29" s="66" t="s">
        <v>380</v>
      </c>
      <c r="J29" s="66"/>
      <c r="K29" s="88">
        <f>K27-K28</f>
        <v>319000</v>
      </c>
      <c r="M29" s="23">
        <f>SUM(M27-M28)</f>
        <v>42.420212765957444</v>
      </c>
    </row>
    <row r="30" spans="2:19" ht="5.0999999999999996" customHeight="1" x14ac:dyDescent="0.25">
      <c r="C30" s="104"/>
      <c r="I30" s="66"/>
      <c r="J30" s="66"/>
      <c r="K30" s="88"/>
      <c r="M30" s="121"/>
    </row>
    <row r="31" spans="2:19" ht="15.75" customHeight="1" x14ac:dyDescent="0.25">
      <c r="C31" s="3" t="s">
        <v>350</v>
      </c>
    </row>
    <row r="32" spans="2:19" ht="15.75" customHeight="1" x14ac:dyDescent="0.25">
      <c r="C32" s="104" t="s">
        <v>351</v>
      </c>
      <c r="D32" s="104"/>
      <c r="E32" s="104"/>
      <c r="O32" s="302"/>
      <c r="P32" s="302"/>
      <c r="Q32" s="302"/>
      <c r="R32" s="300"/>
      <c r="S32" s="300"/>
    </row>
    <row r="33" spans="2:21" ht="15.75" customHeight="1" x14ac:dyDescent="0.25">
      <c r="C33" s="106" t="str">
        <f>CONCATENATE("Commissions (",TEXT(O33,"0.#0"),P33,TEXT(Q33,"$#,##0"),")………………………………………………...………………………………………………………….",)</f>
        <v>Commissions (0.10 × $752,000)………………………………………………...………………………………………………………….</v>
      </c>
      <c r="D33" s="104"/>
      <c r="E33" s="104"/>
      <c r="H33" s="3" t="s">
        <v>380</v>
      </c>
      <c r="I33" s="5">
        <f>S33</f>
        <v>75200</v>
      </c>
      <c r="O33" s="310">
        <v>0.1</v>
      </c>
      <c r="P33" s="301" t="s">
        <v>469</v>
      </c>
      <c r="Q33" s="301">
        <f>S27</f>
        <v>752000</v>
      </c>
      <c r="R33" s="301" t="s">
        <v>468</v>
      </c>
      <c r="S33" s="301">
        <f>SUM(O33*Q33)</f>
        <v>75200</v>
      </c>
    </row>
    <row r="34" spans="2:21" ht="15.75" customHeight="1" x14ac:dyDescent="0.25">
      <c r="C34" s="106" t="s">
        <v>675</v>
      </c>
      <c r="D34" s="104"/>
      <c r="E34" s="104"/>
      <c r="H34" s="3" t="s">
        <v>380</v>
      </c>
      <c r="I34" s="15">
        <f>S34</f>
        <v>65000</v>
      </c>
      <c r="K34" s="20">
        <f>SUM(I33:I34)</f>
        <v>140200</v>
      </c>
      <c r="M34" s="21">
        <f>SUM(K34/K27*100)</f>
        <v>18.643617021276597</v>
      </c>
      <c r="R34" s="311" t="s">
        <v>493</v>
      </c>
      <c r="S34" s="301">
        <v>65000</v>
      </c>
      <c r="U34" s="312"/>
    </row>
    <row r="35" spans="2:21" ht="15.75" customHeight="1" x14ac:dyDescent="0.25">
      <c r="C35" s="104" t="s">
        <v>676</v>
      </c>
      <c r="D35" s="104"/>
      <c r="E35" s="104"/>
      <c r="H35" s="3" t="s">
        <v>380</v>
      </c>
      <c r="I35" s="66" t="s">
        <v>380</v>
      </c>
      <c r="J35" s="66"/>
      <c r="K35" s="20">
        <f>S35</f>
        <v>53800</v>
      </c>
      <c r="M35" s="21">
        <f>SUM(K35/K27*100)</f>
        <v>7.1542553191489358</v>
      </c>
      <c r="R35" s="311" t="s">
        <v>494</v>
      </c>
      <c r="S35" s="301">
        <v>53800</v>
      </c>
      <c r="U35" s="312"/>
    </row>
    <row r="36" spans="2:21" ht="15.75" customHeight="1" thickBot="1" x14ac:dyDescent="0.3">
      <c r="C36" s="174" t="s">
        <v>677</v>
      </c>
      <c r="D36" s="105"/>
      <c r="E36" s="105"/>
      <c r="F36" s="6"/>
      <c r="G36" s="6"/>
      <c r="H36" s="6" t="s">
        <v>380</v>
      </c>
      <c r="I36" s="45" t="s">
        <v>380</v>
      </c>
      <c r="J36" s="45"/>
      <c r="K36" s="185">
        <f>K29-K34-K35</f>
        <v>125000</v>
      </c>
      <c r="L36" s="6"/>
      <c r="M36" s="27">
        <f>SUM(K36/K27*100)</f>
        <v>16.622340425531913</v>
      </c>
    </row>
    <row r="37" spans="2:21" ht="9.75" customHeight="1" thickTop="1" thickBot="1" x14ac:dyDescent="0.3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21" ht="5.0999999999999996" customHeight="1" x14ac:dyDescent="0.25"/>
    <row r="39" spans="2:21" ht="15.75" customHeight="1" x14ac:dyDescent="0.25">
      <c r="B39" s="32" t="s">
        <v>366</v>
      </c>
      <c r="C39" s="2" t="s">
        <v>183</v>
      </c>
      <c r="O39" s="299"/>
      <c r="P39" s="299"/>
      <c r="Q39" s="299"/>
      <c r="S39" s="299"/>
      <c r="T39" s="299"/>
      <c r="U39" s="299"/>
    </row>
    <row r="40" spans="2:21" ht="3" customHeight="1" x14ac:dyDescent="0.25"/>
    <row r="41" spans="2:21" s="2" customFormat="1" ht="14.1" customHeight="1" x14ac:dyDescent="0.2">
      <c r="C41" s="26" t="s">
        <v>354</v>
      </c>
      <c r="D41" s="137" t="str">
        <f>CONCATENATE("Sales Revenue Percent = ",TEXT(O41,"$#,##0"),P41,TEXT(Q41,"$#,##0"),R41,TEXT(S41,"#,##0.00"),T41,TEXT(U41,"0%")," (sales revenue is",)</f>
        <v>Sales Revenue Percent = $752,000/$752,000 = 1.00, or 100% (sales revenue is</v>
      </c>
      <c r="O41" s="301">
        <f>K27</f>
        <v>752000</v>
      </c>
      <c r="P41" s="301" t="s">
        <v>495</v>
      </c>
      <c r="Q41" s="301">
        <f>$S$27</f>
        <v>752000</v>
      </c>
      <c r="R41" s="301" t="s">
        <v>468</v>
      </c>
      <c r="S41" s="304">
        <f>SUM(O41/Q41)</f>
        <v>1</v>
      </c>
      <c r="T41" s="301" t="s">
        <v>492</v>
      </c>
      <c r="U41" s="310">
        <f>S41</f>
        <v>1</v>
      </c>
    </row>
    <row r="42" spans="2:21" s="2" customFormat="1" ht="14.1" customHeight="1" x14ac:dyDescent="0.2">
      <c r="D42" s="137" t="s">
        <v>122</v>
      </c>
      <c r="O42" s="313"/>
      <c r="P42" s="313"/>
      <c r="Q42" s="313"/>
      <c r="R42" s="313"/>
      <c r="S42" s="313"/>
      <c r="T42" s="313"/>
      <c r="U42" s="313"/>
    </row>
    <row r="43" spans="2:21" s="2" customFormat="1" ht="3" customHeight="1" x14ac:dyDescent="0.2">
      <c r="D43" s="137"/>
      <c r="O43" s="313"/>
      <c r="P43" s="313"/>
      <c r="Q43" s="313"/>
      <c r="R43" s="313"/>
      <c r="S43" s="313"/>
      <c r="T43" s="313"/>
      <c r="U43" s="313"/>
    </row>
    <row r="44" spans="2:21" s="2" customFormat="1" ht="14.1" customHeight="1" x14ac:dyDescent="0.2">
      <c r="C44" s="26" t="s">
        <v>355</v>
      </c>
      <c r="D44" s="137" t="str">
        <f>CONCATENATE("Cost of Goods Sold Percent = ",TEXT(O44,"$#,##0"),P44,TEXT(Q44,"$#,##0"),R44,TEXT(S44,"#,##0.000"),T44,TEXT(U44,"0.0%"),)</f>
        <v>Cost of Goods Sold Percent = $433,000/$752,000 = 0.576, or 57.6%</v>
      </c>
      <c r="I44" s="57"/>
      <c r="O44" s="301">
        <f>K28</f>
        <v>433000</v>
      </c>
      <c r="P44" s="301" t="s">
        <v>495</v>
      </c>
      <c r="Q44" s="301">
        <f>$S$27</f>
        <v>752000</v>
      </c>
      <c r="R44" s="301" t="s">
        <v>468</v>
      </c>
      <c r="S44" s="314">
        <f>SUM(O44/Q44)</f>
        <v>0.57579787234042556</v>
      </c>
      <c r="T44" s="301" t="s">
        <v>492</v>
      </c>
      <c r="U44" s="315">
        <f>S44</f>
        <v>0.57579787234042556</v>
      </c>
    </row>
    <row r="45" spans="2:21" s="2" customFormat="1" ht="3" customHeight="1" x14ac:dyDescent="0.2">
      <c r="D45" s="137"/>
      <c r="O45" s="313"/>
      <c r="P45" s="313"/>
      <c r="Q45" s="313"/>
      <c r="R45" s="313"/>
      <c r="S45" s="313"/>
      <c r="T45" s="313"/>
      <c r="U45" s="313"/>
    </row>
    <row r="46" spans="2:21" s="2" customFormat="1" ht="14.1" customHeight="1" x14ac:dyDescent="0.2">
      <c r="C46" s="26" t="s">
        <v>356</v>
      </c>
      <c r="D46" s="137" t="str">
        <f>CONCATENATE("Gross Margin Percent = ",TEXT(O46,"$#,##0"),P46,TEXT(Q46,"$#,##0"),R46,TEXT(S46,"#,##0.000"),T46,TEXT(U46,"0.0%"),)</f>
        <v>Gross Margin Percent = $319,000/$752,000 = 0.424, or 42.4%</v>
      </c>
      <c r="O46" s="301">
        <f>K29</f>
        <v>319000</v>
      </c>
      <c r="P46" s="301" t="s">
        <v>495</v>
      </c>
      <c r="Q46" s="301">
        <f>$S$27</f>
        <v>752000</v>
      </c>
      <c r="R46" s="301" t="s">
        <v>468</v>
      </c>
      <c r="S46" s="314">
        <f>SUM(O46/Q46)</f>
        <v>0.42420212765957449</v>
      </c>
      <c r="T46" s="301" t="s">
        <v>492</v>
      </c>
      <c r="U46" s="315">
        <f>S46</f>
        <v>0.42420212765957449</v>
      </c>
    </row>
    <row r="47" spans="2:21" s="2" customFormat="1" ht="3" customHeight="1" x14ac:dyDescent="0.2">
      <c r="D47" s="137"/>
      <c r="O47" s="313"/>
      <c r="P47" s="313"/>
      <c r="Q47" s="313"/>
      <c r="R47" s="313"/>
      <c r="S47" s="313"/>
      <c r="T47" s="313"/>
      <c r="U47" s="313"/>
    </row>
    <row r="48" spans="2:21" s="2" customFormat="1" ht="14.1" customHeight="1" x14ac:dyDescent="0.2">
      <c r="C48" s="26" t="s">
        <v>357</v>
      </c>
      <c r="D48" s="137" t="str">
        <f>CONCATENATE("Selling Expense Percent = ",TEXT(O48,"$#,##0"),P48,TEXT(Q48,"$#,##0"),R48,TEXT(S48,"#,##0.000"),T48,TEXT(U48,"0.0%"),)</f>
        <v>Selling Expense Percent = $140,200/$752,000 = 0.186, or 18.6%</v>
      </c>
      <c r="O48" s="301">
        <f>K34</f>
        <v>140200</v>
      </c>
      <c r="P48" s="301" t="s">
        <v>495</v>
      </c>
      <c r="Q48" s="301">
        <f>$S$27</f>
        <v>752000</v>
      </c>
      <c r="R48" s="301" t="s">
        <v>468</v>
      </c>
      <c r="S48" s="314">
        <f>SUM(O48/Q48)</f>
        <v>0.18643617021276596</v>
      </c>
      <c r="T48" s="301" t="s">
        <v>492</v>
      </c>
      <c r="U48" s="315">
        <f>S48</f>
        <v>0.18643617021276596</v>
      </c>
    </row>
    <row r="49" spans="3:21" s="2" customFormat="1" ht="3" customHeight="1" x14ac:dyDescent="0.2">
      <c r="D49" s="137"/>
      <c r="O49" s="313"/>
      <c r="P49" s="313"/>
      <c r="Q49" s="313"/>
      <c r="R49" s="313"/>
      <c r="S49" s="313"/>
      <c r="T49" s="313"/>
      <c r="U49" s="313"/>
    </row>
    <row r="50" spans="3:21" s="2" customFormat="1" ht="14.1" customHeight="1" x14ac:dyDescent="0.2">
      <c r="C50" s="26" t="s">
        <v>358</v>
      </c>
      <c r="D50" s="137" t="str">
        <f>CONCATENATE("Administrative Expense Percent = ",TEXT(O50,"$#,##0"),P50,TEXT(Q50,"$#,##0"),R50,TEXT(S50,"#,##0.000"),T50,TEXT(U50,"0.0%"),)</f>
        <v>Administrative Expense Percent = $53,800/$752,000 = 0.072, or 7.2%</v>
      </c>
      <c r="O50" s="301">
        <f>K35</f>
        <v>53800</v>
      </c>
      <c r="P50" s="301" t="s">
        <v>495</v>
      </c>
      <c r="Q50" s="301">
        <f>$S$27</f>
        <v>752000</v>
      </c>
      <c r="R50" s="301" t="s">
        <v>468</v>
      </c>
      <c r="S50" s="314">
        <f>SUM(O50/Q50)</f>
        <v>7.1542553191489361E-2</v>
      </c>
      <c r="T50" s="301" t="s">
        <v>492</v>
      </c>
      <c r="U50" s="315">
        <f>S50</f>
        <v>7.1542553191489361E-2</v>
      </c>
    </row>
    <row r="51" spans="3:21" ht="3" customHeight="1" x14ac:dyDescent="0.25">
      <c r="D51" s="103"/>
    </row>
    <row r="52" spans="3:21" s="2" customFormat="1" ht="14.1" customHeight="1" x14ac:dyDescent="0.2">
      <c r="C52" s="26" t="s">
        <v>359</v>
      </c>
      <c r="D52" s="137" t="str">
        <f>CONCATENATE("Operating Income Percent = ",TEXT(O52,"$#,##0"),P52,TEXT(Q52,"$#,##0"),R52,TEXT(S52,"#,##0.000"),T52,TEXT(U52,"0.0%"),)</f>
        <v>Operating Income Percent = $125,000/$752,000 = 0.166, or 16.6%</v>
      </c>
      <c r="O52" s="301">
        <f>K36</f>
        <v>125000</v>
      </c>
      <c r="P52" s="301" t="s">
        <v>495</v>
      </c>
      <c r="Q52" s="301">
        <f>$S$27</f>
        <v>752000</v>
      </c>
      <c r="R52" s="301" t="s">
        <v>468</v>
      </c>
      <c r="S52" s="314">
        <f>SUM(O52/Q52)</f>
        <v>0.16622340425531915</v>
      </c>
      <c r="T52" s="301" t="s">
        <v>492</v>
      </c>
      <c r="U52" s="315">
        <f>S52</f>
        <v>0.16622340425531915</v>
      </c>
    </row>
    <row r="53" spans="3:21" ht="5.0999999999999996" customHeight="1" x14ac:dyDescent="0.25"/>
    <row r="54" spans="3:21" ht="15.75" customHeight="1" x14ac:dyDescent="0.25"/>
    <row r="55" spans="3:21" ht="15.75" customHeight="1" x14ac:dyDescent="0.25"/>
    <row r="56" spans="3:21" ht="15.75" customHeight="1" x14ac:dyDescent="0.25"/>
    <row r="57" spans="3:21" ht="15.75" customHeight="1" x14ac:dyDescent="0.25"/>
    <row r="58" spans="3:21" ht="15" customHeight="1" x14ac:dyDescent="0.25"/>
    <row r="59" spans="3:21" ht="15" customHeight="1" x14ac:dyDescent="0.25"/>
    <row r="60" spans="3:21" ht="15" customHeight="1" x14ac:dyDescent="0.25"/>
    <row r="61" spans="3:21" ht="15" customHeight="1" x14ac:dyDescent="0.25"/>
    <row r="62" spans="3:21" ht="15" customHeight="1" x14ac:dyDescent="0.25"/>
    <row r="63" spans="3:21" ht="15" customHeight="1" x14ac:dyDescent="0.25"/>
    <row r="64" spans="3:2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</sheetData>
  <customSheetViews>
    <customSheetView guid="{C95BCE97-951E-4C98-84AE-A423A99BB34B}" showPageBreaks="1" fitToPage="1" printArea="1" topLeftCell="B9">
      <selection activeCell="P17" sqref="P17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 topLeftCell="A16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scale="150" fitToPage="1" topLeftCell="A20">
      <selection activeCell="I36" sqref="I36"/>
      <pageMargins left="1" right="0.5" top="0.85" bottom="0.8" header="0.5" footer="0.35"/>
      <printOptions horizontalCentered="1"/>
      <pageSetup scale="91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>
      <selection activeCell="K21" sqref="K21"/>
      <pageMargins left="1" right="0.5" top="0.85" bottom="0.8" header="0.5" footer="0.35"/>
      <pageSetup scale="91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10">
    <mergeCell ref="S39:U39"/>
    <mergeCell ref="O39:Q39"/>
    <mergeCell ref="C22:M22"/>
    <mergeCell ref="C23:M23"/>
    <mergeCell ref="C24:M24"/>
    <mergeCell ref="C4:M4"/>
    <mergeCell ref="C5:M5"/>
    <mergeCell ref="C6:M6"/>
    <mergeCell ref="O5:Q5"/>
    <mergeCell ref="O23:Q23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70" zoomScaleNormal="70" workbookViewId="0"/>
  </sheetViews>
  <sheetFormatPr defaultRowHeight="15.75" x14ac:dyDescent="0.25"/>
  <cols>
    <col min="1" max="1" width="4.7109375" style="3" customWidth="1"/>
    <col min="2" max="2" width="2.7109375" style="3" customWidth="1"/>
    <col min="3" max="3" width="6.42578125" style="3" customWidth="1"/>
    <col min="4" max="4" width="5.85546875" style="3" customWidth="1"/>
    <col min="5" max="5" width="3.85546875" style="3" customWidth="1"/>
    <col min="6" max="6" width="23.140625" style="3" customWidth="1"/>
    <col min="7" max="7" width="14" style="3" customWidth="1"/>
    <col min="8" max="8" width="2.42578125" style="3" customWidth="1"/>
    <col min="9" max="9" width="14.140625" style="3" customWidth="1"/>
    <col min="10" max="10" width="2.42578125" style="3" customWidth="1"/>
    <col min="11" max="11" width="14.28515625" style="3" customWidth="1"/>
    <col min="12" max="12" width="9.140625" style="3"/>
    <col min="13" max="14" width="0" style="297" hidden="1" customWidth="1"/>
    <col min="15" max="15" width="10.42578125" style="297" hidden="1" customWidth="1"/>
    <col min="16" max="16" width="2.7109375" style="297" hidden="1" customWidth="1"/>
    <col min="17" max="17" width="10.42578125" style="297" hidden="1" customWidth="1"/>
    <col min="18" max="18" width="2.7109375" style="3" customWidth="1"/>
    <col min="19" max="19" width="10.42578125" style="3" customWidth="1"/>
    <col min="20" max="20" width="4.42578125" style="3" customWidth="1"/>
    <col min="21" max="21" width="8.7109375" style="3" customWidth="1"/>
    <col min="22" max="16384" width="9.140625" style="3"/>
  </cols>
  <sheetData>
    <row r="1" spans="1:19" ht="30" customHeight="1" x14ac:dyDescent="0.25"/>
    <row r="2" spans="1:19" ht="15.75" customHeight="1" x14ac:dyDescent="0.25">
      <c r="A2" s="3" t="s">
        <v>102</v>
      </c>
      <c r="R2" s="6"/>
    </row>
    <row r="3" spans="1:19" ht="5.0999999999999996" customHeight="1" thickBot="1" x14ac:dyDescent="0.3">
      <c r="R3" s="6"/>
    </row>
    <row r="4" spans="1:19" ht="15.75" customHeight="1" x14ac:dyDescent="0.25">
      <c r="A4" s="10" t="s">
        <v>354</v>
      </c>
      <c r="B4" s="253" t="s">
        <v>360</v>
      </c>
      <c r="C4" s="253"/>
      <c r="D4" s="253"/>
      <c r="E4" s="253"/>
      <c r="F4" s="253"/>
      <c r="G4" s="253"/>
      <c r="H4" s="253"/>
      <c r="I4" s="253"/>
      <c r="J4" s="253"/>
      <c r="K4" s="253"/>
      <c r="R4" s="6"/>
    </row>
    <row r="5" spans="1:19" ht="15.75" customHeight="1" x14ac:dyDescent="0.25">
      <c r="B5" s="254" t="s">
        <v>349</v>
      </c>
      <c r="C5" s="254"/>
      <c r="D5" s="254"/>
      <c r="E5" s="254"/>
      <c r="F5" s="254"/>
      <c r="G5" s="254"/>
      <c r="H5" s="254"/>
      <c r="I5" s="254"/>
      <c r="J5" s="254"/>
      <c r="K5" s="254"/>
      <c r="R5" s="6"/>
    </row>
    <row r="6" spans="1:19" ht="15.75" customHeight="1" thickBot="1" x14ac:dyDescent="0.3">
      <c r="B6" s="250" t="s">
        <v>361</v>
      </c>
      <c r="C6" s="250"/>
      <c r="D6" s="250"/>
      <c r="E6" s="250"/>
      <c r="F6" s="250"/>
      <c r="G6" s="250"/>
      <c r="H6" s="250"/>
      <c r="I6" s="250"/>
      <c r="J6" s="250"/>
      <c r="K6" s="250"/>
      <c r="O6" s="298"/>
      <c r="P6" s="298"/>
      <c r="Q6" s="302"/>
      <c r="R6" s="6"/>
    </row>
    <row r="7" spans="1:19" ht="5.0999999999999996" customHeight="1" x14ac:dyDescent="0.25">
      <c r="O7" s="298"/>
      <c r="P7" s="298"/>
      <c r="Q7" s="298"/>
      <c r="R7" s="6"/>
    </row>
    <row r="8" spans="1:19" ht="15.75" customHeight="1" x14ac:dyDescent="0.25">
      <c r="B8" s="3" t="s">
        <v>678</v>
      </c>
      <c r="H8" s="3" t="s">
        <v>380</v>
      </c>
      <c r="I8" s="3" t="s">
        <v>380</v>
      </c>
      <c r="K8" s="5">
        <f>Q8</f>
        <v>410000</v>
      </c>
      <c r="O8" s="316" t="s">
        <v>749</v>
      </c>
      <c r="P8" s="316"/>
      <c r="Q8" s="317">
        <v>410000</v>
      </c>
      <c r="R8" s="6"/>
    </row>
    <row r="9" spans="1:19" ht="15.75" customHeight="1" x14ac:dyDescent="0.25">
      <c r="B9" s="3" t="s">
        <v>362</v>
      </c>
      <c r="O9" s="302"/>
      <c r="R9" s="6"/>
      <c r="S9" s="221"/>
    </row>
    <row r="10" spans="1:19" ht="15.75" customHeight="1" x14ac:dyDescent="0.25">
      <c r="B10" s="104" t="s">
        <v>679</v>
      </c>
      <c r="H10" s="3" t="s">
        <v>380</v>
      </c>
      <c r="I10" s="70">
        <f>O10</f>
        <v>50000</v>
      </c>
      <c r="J10" s="13"/>
      <c r="K10" s="13"/>
      <c r="M10" s="316" t="s">
        <v>744</v>
      </c>
      <c r="N10" s="316"/>
      <c r="O10" s="317">
        <v>50000</v>
      </c>
      <c r="R10" s="6"/>
      <c r="S10" s="221"/>
    </row>
    <row r="11" spans="1:19" ht="15.75" customHeight="1" x14ac:dyDescent="0.25">
      <c r="B11" s="104" t="s">
        <v>680</v>
      </c>
      <c r="H11" s="3" t="s">
        <v>380</v>
      </c>
      <c r="I11" s="13">
        <f>O11</f>
        <v>75000</v>
      </c>
      <c r="J11" s="13"/>
      <c r="K11" s="13"/>
      <c r="M11" s="316" t="s">
        <v>745</v>
      </c>
      <c r="N11" s="316"/>
      <c r="O11" s="317">
        <v>75000</v>
      </c>
      <c r="R11" s="6"/>
      <c r="S11" s="221"/>
    </row>
    <row r="12" spans="1:19" ht="15.75" customHeight="1" x14ac:dyDescent="0.25">
      <c r="B12" s="104" t="s">
        <v>681</v>
      </c>
      <c r="H12" s="3" t="s">
        <v>380</v>
      </c>
      <c r="I12" s="13">
        <f>O12</f>
        <v>200000</v>
      </c>
      <c r="J12" s="13"/>
      <c r="K12" s="13"/>
      <c r="M12" s="316" t="s">
        <v>746</v>
      </c>
      <c r="N12" s="316"/>
      <c r="O12" s="317">
        <v>200000</v>
      </c>
      <c r="R12" s="6"/>
      <c r="S12" s="221"/>
    </row>
    <row r="13" spans="1:19" ht="15.75" customHeight="1" x14ac:dyDescent="0.25">
      <c r="B13" s="104" t="s">
        <v>682</v>
      </c>
      <c r="H13" s="3" t="s">
        <v>380</v>
      </c>
      <c r="I13" s="13">
        <f>O13</f>
        <v>10000</v>
      </c>
      <c r="J13" s="13"/>
      <c r="K13" s="13"/>
      <c r="M13" s="316" t="s">
        <v>747</v>
      </c>
      <c r="N13" s="316"/>
      <c r="O13" s="317">
        <v>10000</v>
      </c>
      <c r="R13" s="6"/>
      <c r="S13" s="221"/>
    </row>
    <row r="14" spans="1:19" ht="15.75" customHeight="1" x14ac:dyDescent="0.25">
      <c r="B14" s="104" t="s">
        <v>683</v>
      </c>
      <c r="H14" s="3" t="s">
        <v>380</v>
      </c>
      <c r="I14" s="15">
        <f>O14</f>
        <v>35000</v>
      </c>
      <c r="J14" s="13"/>
      <c r="K14" s="13">
        <f>Q14</f>
        <v>370000</v>
      </c>
      <c r="M14" s="316" t="s">
        <v>748</v>
      </c>
      <c r="N14" s="316"/>
      <c r="O14" s="317">
        <v>35000</v>
      </c>
      <c r="Q14" s="317">
        <f>SUM(O10:O14)</f>
        <v>370000</v>
      </c>
      <c r="R14" s="6"/>
      <c r="S14" s="221"/>
    </row>
    <row r="15" spans="1:19" ht="15.75" customHeight="1" thickBot="1" x14ac:dyDescent="0.3">
      <c r="B15" s="104" t="s">
        <v>684</v>
      </c>
      <c r="H15" s="3" t="s">
        <v>380</v>
      </c>
      <c r="I15" s="3" t="s">
        <v>380</v>
      </c>
      <c r="K15" s="73">
        <f>Q15</f>
        <v>40000</v>
      </c>
      <c r="Q15" s="317">
        <f>(Q8-Q14)</f>
        <v>40000</v>
      </c>
      <c r="S15" s="221"/>
    </row>
    <row r="16" spans="1:19" ht="9.75" customHeight="1" thickTop="1" thickBot="1" x14ac:dyDescent="0.3"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2" ht="9.75" customHeight="1" x14ac:dyDescent="0.25"/>
    <row r="18" spans="1:2" ht="15.75" customHeight="1" x14ac:dyDescent="0.25">
      <c r="A18" s="10" t="s">
        <v>355</v>
      </c>
      <c r="B18" s="3" t="s">
        <v>505</v>
      </c>
    </row>
    <row r="19" spans="1:2" ht="15.75" customHeight="1" x14ac:dyDescent="0.25">
      <c r="B19" s="3" t="s">
        <v>506</v>
      </c>
    </row>
    <row r="20" spans="1:2" ht="15.75" customHeight="1" x14ac:dyDescent="0.25">
      <c r="B20" s="3" t="s">
        <v>507</v>
      </c>
    </row>
    <row r="21" spans="1:2" ht="15.75" customHeight="1" x14ac:dyDescent="0.25">
      <c r="B21" s="3" t="s">
        <v>508</v>
      </c>
    </row>
    <row r="22" spans="1:2" ht="15.75" customHeight="1" x14ac:dyDescent="0.25">
      <c r="B22" s="3" t="s">
        <v>510</v>
      </c>
    </row>
    <row r="23" spans="1:2" ht="15.75" customHeight="1" x14ac:dyDescent="0.25">
      <c r="B23" s="3" t="s">
        <v>509</v>
      </c>
    </row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" customHeight="1" x14ac:dyDescent="0.25"/>
    <row r="29" spans="1:2" ht="15" customHeight="1" x14ac:dyDescent="0.25"/>
    <row r="30" spans="1:2" ht="15" customHeight="1" x14ac:dyDescent="0.25"/>
    <row r="31" spans="1:2" ht="15" customHeight="1" x14ac:dyDescent="0.25"/>
    <row r="32" spans="1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</sheetData>
  <customSheetViews>
    <customSheetView guid="{C95BCE97-951E-4C98-84AE-A423A99BB34B}" showPageBreaks="1" fitToPage="1" printArea="1">
      <selection activeCell="M5" sqref="M5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selection activeCell="G17" sqref="G17"/>
      <pageMargins left="0.5" right="1" top="0.85" bottom="0.8" header="0.5" footer="0.35"/>
      <printOptions horizontalCentered="1"/>
      <pageSetup scale="91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M5" sqref="M5"/>
      <pageMargins left="0.5" right="1" top="0.85" bottom="0.8" header="0.5" footer="0.35"/>
      <printOptions horizontalCentered="1"/>
      <pageSetup scale="93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9">
    <mergeCell ref="M13:N13"/>
    <mergeCell ref="M14:N14"/>
    <mergeCell ref="O8:P8"/>
    <mergeCell ref="B6:K6"/>
    <mergeCell ref="B4:K4"/>
    <mergeCell ref="B5:K5"/>
    <mergeCell ref="M10:N10"/>
    <mergeCell ref="M11:N11"/>
    <mergeCell ref="M12:N12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"/>
  <sheetViews>
    <sheetView zoomScale="70" zoomScaleNormal="70" zoomScaleSheetLayoutView="100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10.7109375" style="3" customWidth="1"/>
    <col min="5" max="5" width="10" style="3" customWidth="1"/>
    <col min="6" max="6" width="12.140625" style="3" customWidth="1"/>
    <col min="7" max="7" width="9.7109375" style="3" customWidth="1"/>
    <col min="8" max="8" width="8.28515625" style="3" customWidth="1"/>
    <col min="9" max="9" width="2.7109375" style="3" customWidth="1"/>
    <col min="10" max="10" width="10.7109375" style="3" customWidth="1"/>
    <col min="11" max="11" width="2.28515625" style="3" customWidth="1"/>
    <col min="12" max="12" width="2.7109375" style="3" customWidth="1"/>
    <col min="13" max="13" width="10.28515625" style="3" customWidth="1"/>
    <col min="14" max="14" width="2.7109375" style="3" customWidth="1"/>
    <col min="15" max="15" width="10.140625" style="3" customWidth="1"/>
    <col min="16" max="16" width="9.140625" style="3"/>
    <col min="17" max="17" width="0" style="297" hidden="1" customWidth="1"/>
    <col min="18" max="18" width="2.7109375" style="297" hidden="1" customWidth="1"/>
    <col min="19" max="19" width="10.28515625" style="297" hidden="1" customWidth="1"/>
    <col min="20" max="20" width="2.7109375" style="297" hidden="1" customWidth="1"/>
    <col min="21" max="21" width="0" style="297" hidden="1" customWidth="1"/>
    <col min="22" max="22" width="2.7109375" style="297" hidden="1" customWidth="1"/>
    <col min="23" max="23" width="0" style="297" hidden="1" customWidth="1"/>
    <col min="24" max="16384" width="9.140625" style="3"/>
  </cols>
  <sheetData>
    <row r="1" spans="2:24" ht="30" customHeight="1" x14ac:dyDescent="0.25"/>
    <row r="2" spans="2:24" ht="20.100000000000001" customHeight="1" x14ac:dyDescent="0.25">
      <c r="B2" s="248" t="s">
        <v>363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4"/>
    </row>
    <row r="3" spans="2:24" ht="9.75" customHeight="1" x14ac:dyDescent="0.25"/>
    <row r="4" spans="2:24" ht="17.100000000000001" customHeight="1" x14ac:dyDescent="0.25">
      <c r="B4" s="3" t="s">
        <v>123</v>
      </c>
      <c r="P4" s="220"/>
      <c r="Q4" s="318"/>
      <c r="R4" s="318"/>
      <c r="S4" s="318"/>
      <c r="T4" s="318"/>
      <c r="U4" s="318"/>
      <c r="V4" s="318"/>
      <c r="W4" s="318"/>
      <c r="X4" s="220"/>
    </row>
    <row r="5" spans="2:24" ht="17.100000000000001" customHeight="1" thickBot="1" x14ac:dyDescent="0.3">
      <c r="B5" s="10" t="s">
        <v>354</v>
      </c>
      <c r="C5" s="256" t="s">
        <v>352</v>
      </c>
      <c r="D5" s="256"/>
      <c r="E5" s="256"/>
      <c r="F5" s="256"/>
      <c r="G5" s="256"/>
      <c r="H5" s="256"/>
      <c r="I5" s="24"/>
      <c r="J5" s="19" t="s">
        <v>333</v>
      </c>
      <c r="K5" s="31"/>
      <c r="L5" s="255" t="s">
        <v>334</v>
      </c>
      <c r="M5" s="255"/>
      <c r="N5" s="255"/>
      <c r="O5" s="24"/>
      <c r="P5" s="227"/>
      <c r="Q5" s="299"/>
      <c r="R5" s="299"/>
      <c r="S5" s="299"/>
      <c r="T5" s="299"/>
      <c r="U5" s="299"/>
      <c r="V5" s="299"/>
      <c r="W5" s="299"/>
      <c r="X5" s="220"/>
    </row>
    <row r="6" spans="2:24" ht="5.0999999999999996" customHeight="1" x14ac:dyDescent="0.25">
      <c r="P6" s="227"/>
      <c r="Q6" s="318"/>
      <c r="R6" s="318"/>
      <c r="S6" s="318"/>
      <c r="T6" s="318"/>
      <c r="U6" s="318"/>
      <c r="V6" s="318"/>
      <c r="W6" s="318"/>
      <c r="X6" s="220"/>
    </row>
    <row r="7" spans="2:24" ht="17.100000000000001" customHeight="1" x14ac:dyDescent="0.25">
      <c r="C7" s="3" t="str">
        <f>CONCATENATE(Q7,"…………………………………………………………………………………………………………………………………")</f>
        <v>Derek…………………………………………………………………………………………………………………………………</v>
      </c>
      <c r="I7" s="3" t="s">
        <v>380</v>
      </c>
      <c r="J7" s="5">
        <f>U7</f>
        <v>25000</v>
      </c>
      <c r="K7" s="5"/>
      <c r="L7" s="5"/>
      <c r="M7" s="33">
        <f>W7</f>
        <v>6000</v>
      </c>
      <c r="N7" s="179"/>
      <c r="O7" s="5"/>
      <c r="P7" s="227"/>
      <c r="Q7" s="308" t="s">
        <v>330</v>
      </c>
      <c r="R7" s="319"/>
      <c r="S7" s="308" t="s">
        <v>686</v>
      </c>
      <c r="T7" s="318"/>
      <c r="U7" s="308">
        <v>25000</v>
      </c>
      <c r="V7" s="318"/>
      <c r="W7" s="308">
        <v>6000</v>
      </c>
      <c r="X7" s="220"/>
    </row>
    <row r="8" spans="2:24" ht="17.100000000000001" customHeight="1" x14ac:dyDescent="0.25">
      <c r="C8" s="3" t="str">
        <f>CONCATENATE(Q8,"…………………………………………………………………………………………………………………………………")</f>
        <v>Lawanna…………………………………………………………………………………………………………………………………</v>
      </c>
      <c r="I8" s="3" t="s">
        <v>380</v>
      </c>
      <c r="J8" s="13">
        <f>U8</f>
        <v>30000</v>
      </c>
      <c r="K8" s="13"/>
      <c r="L8" s="13"/>
      <c r="M8" s="13">
        <f>W8</f>
        <v>1500</v>
      </c>
      <c r="N8" s="182"/>
      <c r="O8" s="13"/>
      <c r="P8" s="227"/>
      <c r="Q8" s="308" t="s">
        <v>331</v>
      </c>
      <c r="R8" s="318"/>
      <c r="S8" s="308" t="s">
        <v>687</v>
      </c>
      <c r="T8" s="318"/>
      <c r="U8" s="308">
        <v>30000</v>
      </c>
      <c r="V8" s="318"/>
      <c r="W8" s="308">
        <v>1500</v>
      </c>
      <c r="X8" s="220"/>
    </row>
    <row r="9" spans="2:24" ht="17.100000000000001" customHeight="1" thickBot="1" x14ac:dyDescent="0.3">
      <c r="C9" s="104" t="s">
        <v>685</v>
      </c>
      <c r="I9" s="3" t="s">
        <v>380</v>
      </c>
      <c r="J9" s="14">
        <f>U9</f>
        <v>55000</v>
      </c>
      <c r="K9" s="5"/>
      <c r="L9" s="5"/>
      <c r="M9" s="186">
        <f>W9</f>
        <v>7500</v>
      </c>
      <c r="N9" s="176"/>
      <c r="O9" s="9"/>
      <c r="P9" s="227"/>
      <c r="Q9" s="318"/>
      <c r="R9" s="318"/>
      <c r="S9" s="308"/>
      <c r="T9" s="318"/>
      <c r="U9" s="308">
        <f>SUM(U7:U8)</f>
        <v>55000</v>
      </c>
      <c r="V9" s="318"/>
      <c r="W9" s="308">
        <f>SUM(W7:W8)</f>
        <v>7500</v>
      </c>
      <c r="X9" s="221"/>
    </row>
    <row r="10" spans="2:24" ht="9.75" customHeight="1" thickTop="1" x14ac:dyDescent="0.25">
      <c r="P10" s="227"/>
      <c r="Q10" s="318"/>
      <c r="R10" s="318"/>
      <c r="S10" s="318"/>
      <c r="T10" s="318"/>
      <c r="U10" s="318"/>
      <c r="V10" s="318"/>
      <c r="W10" s="318"/>
      <c r="X10" s="221"/>
    </row>
    <row r="11" spans="2:24" ht="17.100000000000001" customHeight="1" x14ac:dyDescent="0.25">
      <c r="B11" s="10" t="s">
        <v>355</v>
      </c>
      <c r="C11" s="30" t="str">
        <f>CONCATENATE("All of ",Q7,"’s time is spent selling, so all of ",S7," salary cost is selling cost. ",)</f>
        <v xml:space="preserve">All of Derek’s time is spent selling, so all of his salary cost is selling cost. </v>
      </c>
      <c r="P11" s="227"/>
      <c r="Q11" s="299"/>
      <c r="R11" s="299"/>
      <c r="S11" s="299"/>
      <c r="T11" s="299"/>
      <c r="U11" s="299"/>
      <c r="V11" s="320"/>
      <c r="W11" s="320"/>
      <c r="X11" s="221"/>
    </row>
    <row r="12" spans="2:24" ht="17.100000000000001" customHeight="1" x14ac:dyDescent="0.25">
      <c r="C12" s="3" t="str">
        <f>CONCATENATE(Q8," spends two-thirds of ",S8," time selling, so ",TEXT(W12,"$#,##0")," (",TEXT(Q12,"$#,##0"),R12,S12,T12,U12,") of ")</f>
        <v xml:space="preserve">Lawanna spends two-thirds of her time selling, so $20,000 ($30,000 × 2/3) of </v>
      </c>
      <c r="P12" s="227"/>
      <c r="Q12" s="308">
        <f>U8</f>
        <v>30000</v>
      </c>
      <c r="R12" s="308" t="s">
        <v>469</v>
      </c>
      <c r="S12" s="308">
        <v>2</v>
      </c>
      <c r="T12" s="321" t="s">
        <v>495</v>
      </c>
      <c r="U12" s="308">
        <v>3</v>
      </c>
      <c r="V12" s="308" t="s">
        <v>468</v>
      </c>
      <c r="W12" s="308">
        <f>SUM(Q12*S12/U12)</f>
        <v>20000</v>
      </c>
      <c r="X12" s="221"/>
    </row>
    <row r="13" spans="2:24" ht="17.100000000000001" customHeight="1" x14ac:dyDescent="0.25">
      <c r="C13" s="3" t="s">
        <v>512</v>
      </c>
      <c r="P13" s="227"/>
      <c r="Q13" s="318"/>
      <c r="R13" s="318"/>
      <c r="S13" s="318"/>
      <c r="T13" s="318"/>
      <c r="U13" s="318"/>
      <c r="V13" s="318"/>
      <c r="W13" s="318"/>
      <c r="X13" s="220"/>
    </row>
    <row r="14" spans="2:24" ht="17.100000000000001" customHeight="1" x14ac:dyDescent="0.25">
      <c r="C14" s="3" t="s">
        <v>511</v>
      </c>
      <c r="P14" s="227"/>
      <c r="Q14" s="318"/>
      <c r="R14" s="318"/>
      <c r="S14" s="318"/>
      <c r="T14" s="318"/>
      <c r="U14" s="318"/>
      <c r="V14" s="318"/>
      <c r="W14" s="318"/>
      <c r="X14" s="220"/>
    </row>
    <row r="15" spans="2:24" ht="5.0999999999999996" customHeight="1" x14ac:dyDescent="0.25">
      <c r="P15" s="227"/>
      <c r="Q15" s="318"/>
      <c r="R15" s="318"/>
      <c r="S15" s="318"/>
      <c r="T15" s="318"/>
      <c r="U15" s="318"/>
      <c r="V15" s="318"/>
      <c r="W15" s="318"/>
      <c r="X15" s="220"/>
    </row>
    <row r="16" spans="2:24" ht="16.5" customHeight="1" x14ac:dyDescent="0.25">
      <c r="P16" s="227"/>
      <c r="Q16" s="318"/>
      <c r="R16" s="318"/>
      <c r="S16" s="318"/>
      <c r="T16" s="318"/>
      <c r="U16" s="318"/>
      <c r="V16" s="318"/>
      <c r="W16" s="318"/>
      <c r="X16" s="220"/>
    </row>
    <row r="17" spans="2:27" ht="4.5" customHeight="1" x14ac:dyDescent="0.25">
      <c r="P17" s="227"/>
      <c r="Q17" s="318"/>
      <c r="R17" s="318"/>
      <c r="S17" s="318"/>
      <c r="T17" s="318"/>
      <c r="U17" s="318"/>
      <c r="V17" s="318"/>
      <c r="W17" s="318"/>
      <c r="X17" s="220"/>
    </row>
    <row r="18" spans="2:27" ht="17.100000000000001" customHeight="1" x14ac:dyDescent="0.25">
      <c r="I18" s="24"/>
      <c r="J18" s="4" t="s">
        <v>335</v>
      </c>
      <c r="K18" s="4"/>
      <c r="L18" s="4"/>
      <c r="M18" s="4" t="s">
        <v>336</v>
      </c>
      <c r="N18" s="4"/>
      <c r="O18" s="4"/>
      <c r="P18" s="220"/>
      <c r="Q18" s="318"/>
      <c r="R18" s="318"/>
      <c r="S18" s="318"/>
      <c r="T18" s="318"/>
      <c r="U18" s="318"/>
      <c r="V18" s="318"/>
      <c r="W18" s="318"/>
      <c r="X18" s="220"/>
    </row>
    <row r="19" spans="2:27" ht="17.100000000000001" customHeight="1" thickBot="1" x14ac:dyDescent="0.3">
      <c r="C19" s="256" t="s">
        <v>352</v>
      </c>
      <c r="D19" s="256"/>
      <c r="E19" s="256"/>
      <c r="F19" s="256"/>
      <c r="G19" s="256"/>
      <c r="H19" s="256"/>
      <c r="J19" s="19" t="s">
        <v>332</v>
      </c>
      <c r="K19" s="4"/>
      <c r="L19" s="255" t="s">
        <v>332</v>
      </c>
      <c r="M19" s="255"/>
      <c r="N19" s="255"/>
      <c r="O19" s="41"/>
      <c r="P19" s="227"/>
      <c r="Q19" s="318"/>
      <c r="R19" s="318"/>
      <c r="S19" s="318"/>
      <c r="T19" s="318"/>
      <c r="U19" s="318"/>
      <c r="V19" s="318"/>
      <c r="W19" s="319"/>
      <c r="X19" s="230"/>
      <c r="Y19" s="66"/>
      <c r="Z19" s="66"/>
      <c r="AA19" s="66"/>
    </row>
    <row r="20" spans="2:27" ht="5.0999999999999996" customHeight="1" x14ac:dyDescent="0.25">
      <c r="O20" s="6"/>
      <c r="P20" s="227"/>
      <c r="Q20" s="318"/>
      <c r="R20" s="318"/>
      <c r="S20" s="318"/>
      <c r="T20" s="318"/>
      <c r="U20" s="318"/>
      <c r="V20" s="318"/>
      <c r="W20" s="318"/>
      <c r="X20" s="220"/>
    </row>
    <row r="21" spans="2:27" ht="17.100000000000001" customHeight="1" x14ac:dyDescent="0.25">
      <c r="C21" s="3" t="str">
        <f>CONCATENATE(Q21,"’s salary……………………………………………………………………………………………………………………………")</f>
        <v>Derek’s salary……………………………………………………………………………………………………………………………</v>
      </c>
      <c r="I21" s="3" t="s">
        <v>380</v>
      </c>
      <c r="J21" s="5">
        <f>U7</f>
        <v>25000</v>
      </c>
      <c r="M21" s="183">
        <v>0</v>
      </c>
      <c r="N21" s="5"/>
      <c r="O21" s="6"/>
      <c r="P21" s="227"/>
      <c r="Q21" s="308" t="str">
        <f>Q7</f>
        <v>Derek</v>
      </c>
      <c r="R21" s="309"/>
      <c r="S21" s="318"/>
      <c r="T21" s="318"/>
      <c r="U21" s="318"/>
      <c r="V21" s="318"/>
      <c r="W21" s="318"/>
      <c r="X21" s="220"/>
    </row>
    <row r="22" spans="2:27" ht="17.100000000000001" customHeight="1" x14ac:dyDescent="0.25">
      <c r="C22" s="3" t="str">
        <f>CONCATENATE(Q22,"’s salary……………………………………………………………………………………………………………………………")</f>
        <v>Lawanna’s salary……………………………………………………………………………………………………………………………</v>
      </c>
      <c r="I22" s="3" t="s">
        <v>380</v>
      </c>
      <c r="J22" s="13">
        <f>W12</f>
        <v>20000</v>
      </c>
      <c r="M22" s="179">
        <f>U24</f>
        <v>10000</v>
      </c>
      <c r="N22" s="179"/>
      <c r="O22" s="98"/>
      <c r="P22" s="220"/>
      <c r="Q22" s="308" t="str">
        <f>Q8</f>
        <v>Lawanna</v>
      </c>
      <c r="R22" s="309"/>
      <c r="S22" s="318"/>
      <c r="T22" s="318"/>
      <c r="U22" s="318"/>
      <c r="V22" s="318"/>
      <c r="W22" s="318"/>
      <c r="X22" s="220"/>
    </row>
    <row r="23" spans="2:27" ht="17.100000000000001" customHeight="1" x14ac:dyDescent="0.25">
      <c r="C23" s="3" t="str">
        <f>CONCATENATE(Q21,"’s commissions……………………………………………………………………………………………………………………………")</f>
        <v>Derek’s commissions……………………………………………………………………………………………………………………………</v>
      </c>
      <c r="I23" s="3" t="s">
        <v>380</v>
      </c>
      <c r="J23" s="13">
        <f>W7</f>
        <v>6000</v>
      </c>
      <c r="M23" s="183">
        <v>0</v>
      </c>
      <c r="N23" s="13"/>
      <c r="P23" s="220"/>
      <c r="Q23" s="318"/>
      <c r="R23" s="318"/>
      <c r="S23" s="318"/>
      <c r="T23" s="318"/>
      <c r="U23" s="318"/>
      <c r="V23" s="318"/>
      <c r="W23" s="318"/>
      <c r="X23" s="220"/>
    </row>
    <row r="24" spans="2:27" ht="17.100000000000001" customHeight="1" x14ac:dyDescent="0.25">
      <c r="C24" s="3" t="str">
        <f>CONCATENATE(Q22,"’s commissions……………………………………………………………………………………………………………………………")</f>
        <v>Lawanna’s commissions……………………………………………………………………………………………………………………………</v>
      </c>
      <c r="I24" s="3" t="s">
        <v>380</v>
      </c>
      <c r="J24" s="13">
        <f>W8</f>
        <v>1500</v>
      </c>
      <c r="M24" s="183">
        <v>0</v>
      </c>
      <c r="N24" s="180"/>
      <c r="O24" s="6"/>
      <c r="P24" s="220"/>
      <c r="Q24" s="316" t="s">
        <v>751</v>
      </c>
      <c r="R24" s="316"/>
      <c r="S24" s="316"/>
      <c r="T24" s="316"/>
      <c r="U24" s="308">
        <f>Q12-W12</f>
        <v>10000</v>
      </c>
      <c r="V24" s="318"/>
      <c r="W24" s="318"/>
      <c r="X24" s="220"/>
    </row>
    <row r="25" spans="2:27" ht="17.100000000000001" customHeight="1" thickBot="1" x14ac:dyDescent="0.3">
      <c r="C25" s="104" t="s">
        <v>496</v>
      </c>
      <c r="I25" s="3" t="s">
        <v>380</v>
      </c>
      <c r="J25" s="14">
        <f>SUM(J21:J24)</f>
        <v>52500</v>
      </c>
      <c r="M25" s="181">
        <f>SUM(M21:M24)</f>
        <v>10000</v>
      </c>
      <c r="N25" s="176"/>
      <c r="O25" s="122"/>
      <c r="P25" s="220"/>
      <c r="Q25" s="318"/>
      <c r="R25" s="318"/>
      <c r="S25" s="318"/>
      <c r="T25" s="318"/>
      <c r="U25" s="318"/>
      <c r="V25" s="318"/>
      <c r="W25" s="318"/>
      <c r="X25" s="220"/>
    </row>
    <row r="26" spans="2:27" ht="17.100000000000001" customHeight="1" thickTop="1" x14ac:dyDescent="0.25"/>
    <row r="27" spans="2:27" ht="17.100000000000001" customHeight="1" x14ac:dyDescent="0.25">
      <c r="B27" s="3" t="s">
        <v>124</v>
      </c>
    </row>
    <row r="28" spans="2:27" ht="17.100000000000001" customHeight="1" x14ac:dyDescent="0.25">
      <c r="B28" s="10" t="s">
        <v>354</v>
      </c>
      <c r="C28" s="3" t="s">
        <v>514</v>
      </c>
    </row>
    <row r="29" spans="2:27" ht="17.100000000000001" customHeight="1" x14ac:dyDescent="0.25">
      <c r="C29" s="3" t="s">
        <v>513</v>
      </c>
    </row>
    <row r="30" spans="2:27" ht="9.75" customHeight="1" x14ac:dyDescent="0.25"/>
    <row r="31" spans="2:27" ht="17.100000000000001" customHeight="1" x14ac:dyDescent="0.25">
      <c r="B31" s="10" t="s">
        <v>355</v>
      </c>
      <c r="C31" s="3" t="s">
        <v>516</v>
      </c>
    </row>
    <row r="32" spans="2:27" ht="17.100000000000001" customHeight="1" x14ac:dyDescent="0.25">
      <c r="C32" s="3" t="s">
        <v>515</v>
      </c>
    </row>
    <row r="33" spans="2:3" ht="9.75" customHeight="1" x14ac:dyDescent="0.25"/>
    <row r="34" spans="2:3" ht="17.100000000000001" customHeight="1" x14ac:dyDescent="0.25">
      <c r="B34" s="10" t="s">
        <v>356</v>
      </c>
      <c r="C34" s="3" t="s">
        <v>3</v>
      </c>
    </row>
    <row r="35" spans="2:3" ht="17.100000000000001" customHeight="1" x14ac:dyDescent="0.25">
      <c r="C35" s="3" t="s">
        <v>4</v>
      </c>
    </row>
    <row r="36" spans="2:3" ht="9.75" customHeight="1" x14ac:dyDescent="0.25"/>
    <row r="37" spans="2:3" ht="15.75" customHeight="1" x14ac:dyDescent="0.25"/>
    <row r="38" spans="2:3" ht="15.75" customHeight="1" x14ac:dyDescent="0.25">
      <c r="B38" s="10"/>
    </row>
    <row r="39" spans="2:3" ht="15.75" customHeight="1" x14ac:dyDescent="0.25"/>
    <row r="40" spans="2:3" ht="15.75" customHeight="1" x14ac:dyDescent="0.25"/>
    <row r="41" spans="2:3" ht="15.75" customHeight="1" x14ac:dyDescent="0.25"/>
    <row r="42" spans="2:3" ht="15.75" customHeight="1" x14ac:dyDescent="0.25">
      <c r="B42" s="10"/>
    </row>
    <row r="43" spans="2:3" ht="15.75" customHeight="1" x14ac:dyDescent="0.25"/>
    <row r="44" spans="2:3" ht="15.75" customHeight="1" x14ac:dyDescent="0.25"/>
    <row r="45" spans="2:3" ht="15.75" customHeight="1" x14ac:dyDescent="0.25">
      <c r="B45" s="10"/>
      <c r="C45" s="30"/>
    </row>
    <row r="46" spans="2:3" ht="15.75" customHeight="1" x14ac:dyDescent="0.25">
      <c r="C46" s="30"/>
    </row>
    <row r="47" spans="2:3" ht="15.75" customHeight="1" x14ac:dyDescent="0.25">
      <c r="C47" s="30"/>
    </row>
    <row r="48" spans="2:3" ht="15.75" customHeight="1" x14ac:dyDescent="0.25">
      <c r="C48" s="30"/>
    </row>
    <row r="49" spans="2:16" ht="15.75" customHeight="1" x14ac:dyDescent="0.25"/>
    <row r="50" spans="2:16" ht="15.75" customHeight="1" x14ac:dyDescent="0.25"/>
    <row r="51" spans="2:16" ht="15.75" customHeight="1" x14ac:dyDescent="0.25"/>
    <row r="52" spans="2:16" ht="15.75" customHeight="1" x14ac:dyDescent="0.25"/>
    <row r="53" spans="2:16" ht="15.75" customHeight="1" x14ac:dyDescent="0.25"/>
    <row r="54" spans="2:16" ht="15.75" customHeight="1" x14ac:dyDescent="0.25">
      <c r="B54" s="10"/>
      <c r="C54" s="30"/>
    </row>
    <row r="55" spans="2:16" ht="15.75" customHeight="1" x14ac:dyDescent="0.25">
      <c r="C55" s="30"/>
    </row>
    <row r="56" spans="2:16" ht="15.75" customHeight="1" x14ac:dyDescent="0.25">
      <c r="C56" s="30"/>
    </row>
    <row r="57" spans="2:16" ht="15.75" customHeight="1" x14ac:dyDescent="0.25">
      <c r="C57" s="30"/>
    </row>
    <row r="58" spans="2:16" ht="15.75" customHeight="1" x14ac:dyDescent="0.25"/>
    <row r="59" spans="2:16" ht="15.75" customHeight="1" x14ac:dyDescent="0.25"/>
    <row r="60" spans="2:16" ht="15.75" customHeight="1" x14ac:dyDescent="0.25"/>
    <row r="61" spans="2:16" ht="15.75" customHeight="1" x14ac:dyDescent="0.25"/>
    <row r="62" spans="2:16" ht="15.75" customHeight="1" x14ac:dyDescent="0.25">
      <c r="P62" s="6"/>
    </row>
    <row r="63" spans="2:16" ht="15" customHeight="1" x14ac:dyDescent="0.25"/>
    <row r="64" spans="2:16" ht="5.0999999999999996" customHeight="1" x14ac:dyDescent="0.25"/>
    <row r="65" spans="16:16" ht="15" customHeight="1" x14ac:dyDescent="0.25"/>
    <row r="66" spans="16:16" ht="15" customHeight="1" x14ac:dyDescent="0.25"/>
    <row r="67" spans="16:16" ht="15" customHeight="1" x14ac:dyDescent="0.25"/>
    <row r="68" spans="16:16" ht="9.75" customHeight="1" x14ac:dyDescent="0.25"/>
    <row r="69" spans="16:16" ht="15" customHeight="1" x14ac:dyDescent="0.25"/>
    <row r="70" spans="16:16" ht="15" customHeight="1" x14ac:dyDescent="0.25"/>
    <row r="71" spans="16:16" ht="15" customHeight="1" x14ac:dyDescent="0.25"/>
    <row r="72" spans="16:16" ht="15" customHeight="1" x14ac:dyDescent="0.25"/>
    <row r="73" spans="16:16" ht="15" customHeight="1" x14ac:dyDescent="0.25">
      <c r="P73" s="6"/>
    </row>
    <row r="74" spans="16:16" ht="15" customHeight="1" x14ac:dyDescent="0.25"/>
    <row r="75" spans="16:16" ht="15" customHeight="1" x14ac:dyDescent="0.25"/>
    <row r="76" spans="16:16" ht="15" customHeight="1" x14ac:dyDescent="0.25"/>
    <row r="77" spans="16:16" ht="15" customHeight="1" x14ac:dyDescent="0.25"/>
    <row r="78" spans="16:16" ht="15" customHeight="1" x14ac:dyDescent="0.25"/>
    <row r="79" spans="16:16" ht="15" customHeight="1" x14ac:dyDescent="0.25"/>
    <row r="80" spans="16:1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customSheetViews>
    <customSheetView guid="{C95BCE97-951E-4C98-84AE-A423A99BB34B}" showPageBreaks="1" fitToPage="1" printArea="1">
      <selection activeCell="K23" sqref="K23"/>
      <pageMargins left="1" right="0.5" top="0.85" bottom="0.8" header="0.5" footer="0.35"/>
      <printOptions horizontalCentered="1"/>
      <pageSetup scale="93" orientation="portrait" r:id="rId1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A2F04958-F301-4CCE-B304-6A5468D58EEA}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3667CFB0-54D1-4F53-9A88-454A6BFF5CC9}" showPageBreaks="1" printArea="1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B96C0B5-BA20-46F8-BA82-AC66CD8F146A}" showRuler="0">
      <pageMargins left="1" right="0.5" top="0.85" bottom="0.8" header="0.5" footer="0.35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 topLeftCell="A13">
      <selection activeCell="M19" sqref="M19"/>
      <pageMargins left="1" right="0.5" top="0.85" bottom="0.8" header="0.5" footer="0.35"/>
      <printOptions horizontalCentered="1"/>
      <pageSetup scale="94" orientation="portrait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showPageBreaks="1" printArea="1" showRuler="0" topLeftCell="A29">
      <pageMargins left="1" right="0.5" top="0.85" bottom="0.8" header="0.5" footer="0.35"/>
      <pageSetup scale="94" orientation="portrait" r:id="rId2"/>
      <headerFooter alignWithMargins="0">
        <oddHeader>&amp;R&amp;"Times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8">
    <mergeCell ref="Q24:T24"/>
    <mergeCell ref="L19:N19"/>
    <mergeCell ref="C5:H5"/>
    <mergeCell ref="L5:N5"/>
    <mergeCell ref="B2:N2"/>
    <mergeCell ref="C19:H19"/>
    <mergeCell ref="Q5:W5"/>
    <mergeCell ref="Q11:U11"/>
  </mergeCells>
  <phoneticPr fontId="2" type="noConversion"/>
  <printOptions horizontalCentered="1"/>
  <pageMargins left="0.7" right="1" top="0.85" bottom="0.8" header="0.5" footer="0.35"/>
  <pageSetup scale="93" orientation="portrait" r:id="rId3"/>
  <headerFooter alignWithMargins="0">
    <oddHeader>&amp;L&amp;"Times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zoomScale="85" zoomScaleNormal="85" workbookViewId="0">
      <selection activeCell="B1" sqref="B1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2.7109375" style="3" customWidth="1"/>
    <col min="4" max="4" width="9.7109375" style="3" customWidth="1"/>
    <col min="5" max="5" width="11.7109375" style="3" customWidth="1"/>
    <col min="6" max="6" width="4.85546875" style="3" customWidth="1"/>
    <col min="7" max="7" width="17.5703125" style="3" customWidth="1"/>
    <col min="8" max="9" width="11.7109375" style="3" customWidth="1"/>
    <col min="10" max="10" width="2.7109375" style="3" customWidth="1"/>
    <col min="11" max="11" width="11.5703125" style="3" bestFit="1" customWidth="1"/>
    <col min="12" max="12" width="14.28515625" style="3" customWidth="1"/>
    <col min="13" max="13" width="2.42578125" style="3" customWidth="1"/>
    <col min="14" max="14" width="10.42578125" style="297" hidden="1" customWidth="1"/>
    <col min="15" max="15" width="2.7109375" style="297" hidden="1" customWidth="1"/>
    <col min="16" max="16" width="8.7109375" style="297" hidden="1" customWidth="1"/>
    <col min="17" max="17" width="2.7109375" style="297" hidden="1" customWidth="1"/>
    <col min="18" max="18" width="8.7109375" style="297" hidden="1" customWidth="1"/>
    <col min="19" max="19" width="2.7109375" style="3" customWidth="1"/>
    <col min="20" max="20" width="9.140625" style="3"/>
    <col min="21" max="21" width="2.7109375" style="3" customWidth="1"/>
    <col min="22" max="22" width="9.140625" style="3"/>
    <col min="23" max="23" width="2.7109375" style="3" customWidth="1"/>
    <col min="24" max="16384" width="9.140625" style="3"/>
  </cols>
  <sheetData>
    <row r="1" spans="2:3" ht="30" customHeight="1" x14ac:dyDescent="0.25"/>
    <row r="2" spans="2:3" ht="15.75" customHeight="1" x14ac:dyDescent="0.25">
      <c r="B2" s="3" t="s">
        <v>125</v>
      </c>
    </row>
    <row r="3" spans="2:3" ht="15.75" customHeight="1" x14ac:dyDescent="0.25">
      <c r="B3" s="3" t="s">
        <v>342</v>
      </c>
      <c r="C3" s="3" t="s">
        <v>255</v>
      </c>
    </row>
    <row r="4" spans="2:3" ht="5.0999999999999996" customHeight="1" x14ac:dyDescent="0.25"/>
    <row r="5" spans="2:3" ht="15.75" customHeight="1" x14ac:dyDescent="0.25">
      <c r="B5" s="3" t="s">
        <v>343</v>
      </c>
      <c r="C5" s="3" t="s">
        <v>256</v>
      </c>
    </row>
    <row r="6" spans="2:3" ht="5.0999999999999996" customHeight="1" x14ac:dyDescent="0.25"/>
    <row r="7" spans="2:3" ht="15.75" customHeight="1" x14ac:dyDescent="0.25">
      <c r="B7" s="3" t="s">
        <v>344</v>
      </c>
      <c r="C7" s="3" t="s">
        <v>257</v>
      </c>
    </row>
    <row r="8" spans="2:3" ht="5.0999999999999996" customHeight="1" x14ac:dyDescent="0.25"/>
    <row r="9" spans="2:3" ht="15.75" customHeight="1" x14ac:dyDescent="0.25">
      <c r="B9" s="3" t="s">
        <v>245</v>
      </c>
      <c r="C9" s="3" t="s">
        <v>258</v>
      </c>
    </row>
    <row r="10" spans="2:3" ht="5.0999999999999996" customHeight="1" x14ac:dyDescent="0.25"/>
    <row r="11" spans="2:3" ht="15.75" customHeight="1" x14ac:dyDescent="0.25">
      <c r="B11" s="3" t="s">
        <v>246</v>
      </c>
      <c r="C11" s="3" t="s">
        <v>259</v>
      </c>
    </row>
    <row r="12" spans="2:3" ht="5.0999999999999996" customHeight="1" x14ac:dyDescent="0.25"/>
    <row r="13" spans="2:3" ht="15.75" customHeight="1" x14ac:dyDescent="0.25">
      <c r="B13" s="3" t="s">
        <v>247</v>
      </c>
      <c r="C13" s="3" t="s">
        <v>260</v>
      </c>
    </row>
    <row r="14" spans="2:3" ht="5.0999999999999996" customHeight="1" x14ac:dyDescent="0.25"/>
    <row r="15" spans="2:3" ht="15.75" customHeight="1" x14ac:dyDescent="0.25">
      <c r="B15" s="3" t="s">
        <v>248</v>
      </c>
      <c r="C15" s="3" t="s">
        <v>261</v>
      </c>
    </row>
    <row r="16" spans="2:3" ht="5.0999999999999996" customHeight="1" x14ac:dyDescent="0.25"/>
    <row r="17" spans="2:19" ht="15.75" customHeight="1" x14ac:dyDescent="0.25">
      <c r="B17" s="3" t="s">
        <v>249</v>
      </c>
      <c r="C17" s="3" t="s">
        <v>262</v>
      </c>
    </row>
    <row r="18" spans="2:19" ht="5.0999999999999996" customHeight="1" x14ac:dyDescent="0.25"/>
    <row r="19" spans="2:19" ht="15.75" customHeight="1" x14ac:dyDescent="0.25">
      <c r="B19" s="3" t="s">
        <v>250</v>
      </c>
      <c r="C19" s="3" t="s">
        <v>263</v>
      </c>
    </row>
    <row r="20" spans="2:19" ht="5.0999999999999996" customHeight="1" x14ac:dyDescent="0.25"/>
    <row r="21" spans="2:19" ht="15.75" customHeight="1" x14ac:dyDescent="0.25">
      <c r="B21" s="3" t="s">
        <v>251</v>
      </c>
      <c r="C21" s="3" t="s">
        <v>264</v>
      </c>
    </row>
    <row r="22" spans="2:19" ht="5.0999999999999996" customHeight="1" x14ac:dyDescent="0.25"/>
    <row r="23" spans="2:19" ht="15.75" customHeight="1" x14ac:dyDescent="0.25">
      <c r="B23" s="3" t="s">
        <v>252</v>
      </c>
      <c r="C23" s="3" t="s">
        <v>265</v>
      </c>
    </row>
    <row r="24" spans="2:19" ht="5.0999999999999996" customHeight="1" x14ac:dyDescent="0.25"/>
    <row r="25" spans="2:19" ht="15.75" customHeight="1" x14ac:dyDescent="0.25">
      <c r="B25" s="3" t="s">
        <v>253</v>
      </c>
      <c r="C25" s="3" t="s">
        <v>266</v>
      </c>
    </row>
    <row r="26" spans="2:19" ht="5.0999999999999996" customHeight="1" x14ac:dyDescent="0.25"/>
    <row r="27" spans="2:19" ht="15.75" customHeight="1" x14ac:dyDescent="0.25">
      <c r="B27" s="3" t="s">
        <v>254</v>
      </c>
      <c r="C27" s="3" t="s">
        <v>267</v>
      </c>
    </row>
    <row r="28" spans="2:19" ht="15.75" customHeight="1" x14ac:dyDescent="0.25"/>
    <row r="29" spans="2:19" ht="15.75" customHeight="1" x14ac:dyDescent="0.25">
      <c r="B29" s="3" t="s">
        <v>126</v>
      </c>
      <c r="S29" s="6"/>
    </row>
    <row r="30" spans="2:19" ht="15.75" customHeight="1" x14ac:dyDescent="0.25">
      <c r="B30" s="10" t="s">
        <v>354</v>
      </c>
      <c r="C30" s="3" t="s">
        <v>268</v>
      </c>
      <c r="S30" s="6"/>
    </row>
    <row r="31" spans="2:19" ht="15.75" customHeight="1" x14ac:dyDescent="0.25">
      <c r="C31" s="3" t="s">
        <v>314</v>
      </c>
      <c r="O31" s="298"/>
      <c r="P31" s="298"/>
      <c r="S31" s="6"/>
    </row>
    <row r="32" spans="2:19" ht="15.75" customHeight="1" x14ac:dyDescent="0.25">
      <c r="C32" s="3" t="s">
        <v>315</v>
      </c>
      <c r="M32" s="6"/>
      <c r="R32" s="301"/>
      <c r="S32" s="6"/>
    </row>
    <row r="33" spans="2:20" ht="15.75" customHeight="1" x14ac:dyDescent="0.25">
      <c r="C33" s="3" t="s">
        <v>316</v>
      </c>
      <c r="M33" s="6"/>
      <c r="N33" s="322"/>
      <c r="O33" s="322"/>
      <c r="R33" s="301"/>
      <c r="S33" s="6"/>
    </row>
    <row r="34" spans="2:20" ht="9.75" customHeight="1" x14ac:dyDescent="0.25">
      <c r="P34" s="300"/>
      <c r="S34" s="6"/>
    </row>
    <row r="35" spans="2:20" ht="15.75" customHeight="1" x14ac:dyDescent="0.25">
      <c r="B35" s="10" t="s">
        <v>355</v>
      </c>
      <c r="C35" s="3" t="s">
        <v>497</v>
      </c>
      <c r="J35" s="3" t="s">
        <v>380</v>
      </c>
      <c r="K35" s="74">
        <f>P35</f>
        <v>7000</v>
      </c>
      <c r="N35" s="323" t="s">
        <v>732</v>
      </c>
      <c r="O35" s="323"/>
      <c r="P35" s="306">
        <v>7000</v>
      </c>
      <c r="R35" s="301"/>
      <c r="S35" s="6"/>
    </row>
    <row r="36" spans="2:20" ht="15.75" customHeight="1" x14ac:dyDescent="0.25">
      <c r="C36" s="3" t="s">
        <v>498</v>
      </c>
      <c r="J36" s="3" t="s">
        <v>380</v>
      </c>
      <c r="K36" s="13">
        <f>P36</f>
        <v>3000</v>
      </c>
      <c r="N36" s="323" t="s">
        <v>733</v>
      </c>
      <c r="O36" s="323"/>
      <c r="P36" s="306">
        <v>3000</v>
      </c>
      <c r="R36" s="301"/>
      <c r="S36" s="6"/>
    </row>
    <row r="37" spans="2:20" ht="15.75" customHeight="1" x14ac:dyDescent="0.25">
      <c r="C37" s="3" t="s">
        <v>644</v>
      </c>
      <c r="J37" s="3" t="s">
        <v>380</v>
      </c>
      <c r="K37" s="13">
        <f>P37</f>
        <v>2000</v>
      </c>
      <c r="N37" s="323" t="s">
        <v>734</v>
      </c>
      <c r="O37" s="323"/>
      <c r="P37" s="306">
        <v>2000</v>
      </c>
      <c r="S37" s="6"/>
    </row>
    <row r="38" spans="2:20" ht="15.75" customHeight="1" thickBot="1" x14ac:dyDescent="0.3">
      <c r="C38" s="104" t="s">
        <v>645</v>
      </c>
      <c r="J38" s="3" t="s">
        <v>380</v>
      </c>
      <c r="K38" s="14">
        <f>N41</f>
        <v>12000</v>
      </c>
      <c r="N38" s="323" t="s">
        <v>750</v>
      </c>
      <c r="O38" s="323"/>
      <c r="P38" s="306">
        <v>8000</v>
      </c>
      <c r="S38" s="6"/>
    </row>
    <row r="39" spans="2:20" ht="9.75" customHeight="1" thickTop="1" x14ac:dyDescent="0.25">
      <c r="N39" s="300"/>
      <c r="P39" s="300"/>
      <c r="S39" s="6"/>
    </row>
    <row r="40" spans="2:20" ht="15.75" customHeight="1" x14ac:dyDescent="0.25">
      <c r="B40" s="10" t="s">
        <v>356</v>
      </c>
      <c r="C40" s="50" t="s">
        <v>517</v>
      </c>
      <c r="F40" s="4"/>
      <c r="G40" s="86">
        <f>N41</f>
        <v>12000</v>
      </c>
      <c r="H40" s="34" t="str">
        <f>CONCATENATE(" = ",TEXT(R41,"$#,##0.00"),)</f>
        <v xml:space="preserve"> = $3.00</v>
      </c>
      <c r="S40" s="6"/>
      <c r="T40" s="221"/>
    </row>
    <row r="41" spans="2:20" ht="15.75" customHeight="1" x14ac:dyDescent="0.25">
      <c r="B41" s="10"/>
      <c r="F41" s="50"/>
      <c r="G41" s="4" t="str">
        <f>CONCATENATE(TEXT(P41,"#,##0")," units")</f>
        <v>4,000 units</v>
      </c>
      <c r="I41" s="34"/>
      <c r="J41" s="34"/>
      <c r="N41" s="301">
        <f>SUM(P35:P37)</f>
        <v>12000</v>
      </c>
      <c r="O41" s="301" t="s">
        <v>471</v>
      </c>
      <c r="P41" s="301">
        <v>4000</v>
      </c>
      <c r="Q41" s="301" t="s">
        <v>468</v>
      </c>
      <c r="R41" s="304">
        <f>SUM(N41/P41)</f>
        <v>3</v>
      </c>
      <c r="S41" s="6"/>
    </row>
    <row r="42" spans="2:20" ht="15.75" customHeight="1" x14ac:dyDescent="0.25">
      <c r="S42" s="6"/>
    </row>
    <row r="43" spans="2:20" ht="15.75" customHeight="1" x14ac:dyDescent="0.25"/>
    <row r="44" spans="2:20" ht="15.75" customHeight="1" x14ac:dyDescent="0.25">
      <c r="O44" s="300"/>
    </row>
    <row r="45" spans="2:20" ht="15.75" customHeight="1" x14ac:dyDescent="0.25"/>
    <row r="46" spans="2:20" ht="15" customHeight="1" x14ac:dyDescent="0.25"/>
    <row r="47" spans="2:20" ht="15" customHeight="1" x14ac:dyDescent="0.25"/>
    <row r="48" spans="2:2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</sheetData>
  <customSheetViews>
    <customSheetView guid="{C95BCE97-951E-4C98-84AE-A423A99BB34B}" showPageBreaks="1" fitToPage="1" printArea="1">
      <selection activeCell="J30" sqref="J30"/>
      <pageMargins left="0.5" right="1" top="0.85" bottom="0.8" header="0.5" footer="0.35"/>
      <printOptions horizontalCentered="1"/>
      <pageSetup scale="93" orientation="portrait" r:id="rId1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611968CD-0356-428A-9AC1-46A54631856A}" fitToPage="1">
      <pageMargins left="0.5" right="1" top="0.85" bottom="0.8" header="0.5" footer="0.35"/>
      <printOptions horizontalCentered="1"/>
      <pageSetup scale="94" orientation="portrait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  <customSheetView guid="{7517F88B-BACA-41A4-A0F5-ECF8E80B343F}" fitToPage="1" showRuler="0">
      <selection activeCell="J30" sqref="J30"/>
      <pageMargins left="0.5" right="1" top="0.85" bottom="0.8" header="0.5" footer="0.35"/>
      <printOptions horizontalCentered="1"/>
      <pageSetup scale="93" orientation="portrait" r:id="rId2"/>
      <headerFooter alignWithMargins="0">
        <oddHeader>&amp;L&amp;"Times New Roman,Regular"CHAPTER 2       Basic Managerial Accounting Concepts</oddHeader>
        <oddFooter xml:space="preserve">&amp;C&amp;"Arial,Bold"&amp;A&amp;"Arial,Regular"&amp;7
&amp;"Times New Roman,Regular"&amp;8© 2012 Cengage Learning. All Rights Reserved. May not be scanned, copied or duplicated, or posted to a publicly accessible website, in whole or in part.
</oddFooter>
      </headerFooter>
    </customSheetView>
  </customSheetViews>
  <mergeCells count="5">
    <mergeCell ref="N33:O33"/>
    <mergeCell ref="N35:O35"/>
    <mergeCell ref="N36:O36"/>
    <mergeCell ref="N37:O37"/>
    <mergeCell ref="N38:O38"/>
  </mergeCells>
  <phoneticPr fontId="2" type="noConversion"/>
  <printOptions horizontalCentered="1"/>
  <pageMargins left="1" right="0.7" top="0.85" bottom="0.8" header="0.5" footer="0.35"/>
  <pageSetup scale="93" orientation="portrait" r:id="rId3"/>
  <headerFooter alignWithMargins="0">
    <oddHeader>&amp;R&amp;"Times New Roman,Regular"CHAPTER 2       Basic Managerial Accounting Concepts</oddHeader>
    <oddFooter xml:space="preserve">&amp;C&amp;"Arial,Bold"&amp;A&amp;"Arial,Regular"&amp;7
&amp;"Times New Roman,Regular"&amp;8© 2014 Cengage Learning. All Rights Reserved. May not be scanned, copied or duplicated, or posted to a publicly accessible website, in whole or in part.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2-25</vt:lpstr>
      <vt:lpstr>2-26</vt:lpstr>
      <vt:lpstr>2-27</vt:lpstr>
      <vt:lpstr>2-28</vt:lpstr>
      <vt:lpstr>2-29</vt:lpstr>
      <vt:lpstr>2-30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'2-21'!Print_Area</vt:lpstr>
      <vt:lpstr>'2-22'!Print_Area</vt:lpstr>
      <vt:lpstr>'2-23'!Print_Area</vt:lpstr>
      <vt:lpstr>'2-24'!Print_Area</vt:lpstr>
      <vt:lpstr>'2-25'!Print_Area</vt:lpstr>
      <vt:lpstr>'2-26'!Print_Area</vt:lpstr>
      <vt:lpstr>'2-27'!Print_Area</vt:lpstr>
      <vt:lpstr>'2-28'!Print_Area</vt:lpstr>
      <vt:lpstr>'2-29'!Print_Area</vt:lpstr>
      <vt:lpstr>'2-3'!Print_Area</vt:lpstr>
      <vt:lpstr>'2-30'!Print_Area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Sujata</dc:creator>
  <cp:lastModifiedBy>Windows User</cp:lastModifiedBy>
  <cp:lastPrinted>2012-08-07T18:14:02Z</cp:lastPrinted>
  <dcterms:created xsi:type="dcterms:W3CDTF">2010-01-08T08:36:43Z</dcterms:created>
  <dcterms:modified xsi:type="dcterms:W3CDTF">2012-11-16T20:07:06Z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