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adesk\Dropbox\Bruner, Eades, Schill, Case Studies 8e\Teaching Notes\TN Spreadsheets\"/>
    </mc:Choice>
  </mc:AlternateContent>
  <bookViews>
    <workbookView xWindow="0" yWindow="0" windowWidth="30720" windowHeight="12810" firstSheet="1" activeTab="1"/>
  </bookViews>
  <sheets>
    <sheet name="__FDSCACHE__" sheetId="5" state="veryHidden" r:id="rId1"/>
    <sheet name="Title Page" sheetId="8" r:id="rId2"/>
    <sheet name="Exh TN1 Supplemental Info" sheetId="7" r:id="rId3"/>
    <sheet name="Exh TN3 Equity Portfolio" sheetId="6" r:id="rId4"/>
    <sheet name="Exh TN4 WACC" sheetId="1" r:id="rId5"/>
    <sheet name="Exh TN5 DCF Valuation" sheetId="3" r:id="rId6"/>
  </sheets>
  <definedNames>
    <definedName name="_ftn1" localSheetId="5">'Exh TN5 DCF Valuation'!$A$95</definedName>
    <definedName name="_ftn2" localSheetId="5">'Exh TN5 DCF Valuation'!$A$96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3" l="1"/>
  <c r="D38" i="3"/>
  <c r="E26" i="3"/>
  <c r="D26" i="3"/>
  <c r="E7" i="3"/>
  <c r="E9" i="3"/>
  <c r="D7" i="3"/>
  <c r="D9" i="3"/>
  <c r="C7" i="3"/>
  <c r="C9" i="3"/>
  <c r="G42" i="7"/>
  <c r="F42" i="7"/>
  <c r="G30" i="7"/>
  <c r="F30" i="7"/>
  <c r="E13" i="7"/>
  <c r="G11" i="7"/>
  <c r="G13" i="7"/>
  <c r="F11" i="7"/>
  <c r="F13" i="7"/>
  <c r="E11" i="7"/>
  <c r="E56" i="3"/>
  <c r="F56" i="3"/>
  <c r="G56" i="3"/>
  <c r="H56" i="3"/>
  <c r="H64" i="3"/>
  <c r="G64" i="3"/>
  <c r="F64" i="3"/>
  <c r="C46" i="3"/>
  <c r="F25" i="1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7" i="6"/>
  <c r="H23" i="6"/>
  <c r="I24" i="6"/>
  <c r="G23" i="6"/>
  <c r="I23" i="6"/>
  <c r="J11" i="6"/>
  <c r="E82" i="3"/>
  <c r="H63" i="3"/>
  <c r="G63" i="3"/>
  <c r="H59" i="3"/>
  <c r="H57" i="3"/>
  <c r="F72" i="3"/>
  <c r="E72" i="3"/>
  <c r="F65" i="3"/>
  <c r="H72" i="3"/>
  <c r="G72" i="3"/>
  <c r="H65" i="3"/>
  <c r="G65" i="3"/>
  <c r="D72" i="3"/>
  <c r="C72" i="3"/>
  <c r="F63" i="3"/>
  <c r="G59" i="3"/>
  <c r="G60" i="3"/>
  <c r="H60" i="3"/>
  <c r="G57" i="3"/>
  <c r="F59" i="3"/>
  <c r="F60" i="3"/>
  <c r="J9" i="6"/>
  <c r="J19" i="6"/>
  <c r="J22" i="6"/>
  <c r="J13" i="6"/>
  <c r="J10" i="6"/>
  <c r="J23" i="6"/>
  <c r="J12" i="6"/>
  <c r="J20" i="6"/>
  <c r="J16" i="6"/>
  <c r="J17" i="6"/>
  <c r="J14" i="6"/>
  <c r="J15" i="6"/>
  <c r="J8" i="6"/>
  <c r="J21" i="6"/>
  <c r="J18" i="6"/>
  <c r="J7" i="6"/>
  <c r="E65" i="3"/>
  <c r="D65" i="3"/>
  <c r="C65" i="3"/>
  <c r="C64" i="3"/>
  <c r="E64" i="3"/>
  <c r="D64" i="3"/>
  <c r="E63" i="3"/>
  <c r="D63" i="3"/>
  <c r="C63" i="3"/>
  <c r="F21" i="1"/>
  <c r="F20" i="1"/>
  <c r="E20" i="1"/>
  <c r="E21" i="1"/>
  <c r="F23" i="1"/>
  <c r="F27" i="1"/>
  <c r="F9" i="1"/>
  <c r="F11" i="1"/>
  <c r="I28" i="3"/>
  <c r="I25" i="3"/>
  <c r="F29" i="1"/>
  <c r="E25" i="1"/>
  <c r="E27" i="1"/>
  <c r="E77" i="3"/>
  <c r="E57" i="3"/>
  <c r="D57" i="3"/>
  <c r="C57" i="3"/>
  <c r="E59" i="3"/>
  <c r="D56" i="3"/>
  <c r="D59" i="3"/>
  <c r="C56" i="3"/>
  <c r="C59" i="3"/>
  <c r="E60" i="3"/>
  <c r="E62" i="3"/>
  <c r="E67" i="3"/>
  <c r="D60" i="3"/>
  <c r="D62" i="3"/>
  <c r="D67" i="3"/>
  <c r="C60" i="3"/>
  <c r="C62" i="3"/>
  <c r="C67" i="3"/>
  <c r="E9" i="1"/>
  <c r="E11" i="1"/>
  <c r="E23" i="1"/>
  <c r="E29" i="1"/>
  <c r="F57" i="3"/>
  <c r="F62" i="3"/>
  <c r="F67" i="3"/>
  <c r="F82" i="3"/>
  <c r="F75" i="3"/>
  <c r="F77" i="3"/>
  <c r="H62" i="3"/>
  <c r="H67" i="3"/>
  <c r="H69" i="3"/>
  <c r="H82" i="3"/>
  <c r="H68" i="3"/>
  <c r="H75" i="3"/>
  <c r="H77" i="3"/>
  <c r="G62" i="3"/>
  <c r="G67" i="3"/>
  <c r="G82" i="3"/>
  <c r="G75" i="3"/>
  <c r="G77" i="3"/>
  <c r="D77" i="3"/>
  <c r="E78" i="3"/>
  <c r="D82" i="3"/>
  <c r="E83" i="3"/>
</calcChain>
</file>

<file path=xl/comments1.xml><?xml version="1.0" encoding="utf-8"?>
<comments xmlns="http://schemas.openxmlformats.org/spreadsheetml/2006/main">
  <authors>
    <author>Jake DuBois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&lt;?xml version="1.0" encoding="utf-8"?&gt;&lt;Schema xmlns:xsi="http://www.w3.org/2001/XMLSchema-instance" xmlns:xsd="http://www.w3.org/2001/XMLSchema" Version="1"&gt;&lt;FQL&gt;&lt;Q&gt;BRK.B-US^FREF_MARKET_VALUE_COMPANY(8/10/2015,,,,,0)&lt;/Q&gt;&lt;R&gt;1&lt;/R&gt;&lt;C&gt;1&lt;/C&gt;&lt;D xsi:type="xsd:double"&gt;353720.81964352354&lt;/D&gt;&lt;/FQL&gt;&lt;/Schema&gt;</t>
        </r>
      </text>
    </comment>
  </commentList>
</comments>
</file>

<file path=xl/comments2.xml><?xml version="1.0" encoding="utf-8"?>
<comments xmlns="http://schemas.openxmlformats.org/spreadsheetml/2006/main">
  <authors>
    <author>Jake DuBois</author>
  </authors>
  <commentList>
    <comment ref="H7" authorId="0" shapeId="0">
      <text/>
    </comment>
    <comment ref="G32" authorId="0" shapeId="0">
      <text/>
    </comment>
  </commentList>
</comments>
</file>

<file path=xl/sharedStrings.xml><?xml version="1.0" encoding="utf-8"?>
<sst xmlns="http://schemas.openxmlformats.org/spreadsheetml/2006/main" count="199" uniqueCount="141">
  <si>
    <t>Beta</t>
  </si>
  <si>
    <t>Cost of Equity</t>
  </si>
  <si>
    <t xml:space="preserve">Income Statement </t>
  </si>
  <si>
    <t>Revenue</t>
  </si>
  <si>
    <r>
      <t>Operating expenses</t>
    </r>
    <r>
      <rPr>
        <vertAlign val="superscript"/>
        <sz val="11"/>
        <color theme="1"/>
        <rFont val="Calibri"/>
        <family val="2"/>
        <scheme val="minor"/>
      </rPr>
      <t>1</t>
    </r>
  </si>
  <si>
    <t>Income from operations</t>
  </si>
  <si>
    <t>Net interest expense</t>
  </si>
  <si>
    <t>Income before income tax expense</t>
  </si>
  <si>
    <t>Income tax expense</t>
  </si>
  <si>
    <r>
      <t>Consolidated net income from continuing operations</t>
    </r>
    <r>
      <rPr>
        <vertAlign val="superscript"/>
        <sz val="11"/>
        <color theme="1"/>
        <rFont val="Calibri"/>
        <family val="2"/>
        <scheme val="minor"/>
      </rPr>
      <t>2</t>
    </r>
  </si>
  <si>
    <t>Balance Sheet</t>
  </si>
  <si>
    <t>Assets:</t>
  </si>
  <si>
    <t>Current assets</t>
  </si>
  <si>
    <t>Net property, plant and equipment</t>
  </si>
  <si>
    <t>Other assets</t>
  </si>
  <si>
    <t>Total assets</t>
  </si>
  <si>
    <t>Liabilities &amp; Shareholder Equity:</t>
  </si>
  <si>
    <t>Current liabilities</t>
  </si>
  <si>
    <t>Long-term debt</t>
  </si>
  <si>
    <t>Pension obligation</t>
  </si>
  <si>
    <t>Other long-term liabilities</t>
  </si>
  <si>
    <t>Total liabilities</t>
  </si>
  <si>
    <r>
      <t>Shareholders' equity</t>
    </r>
    <r>
      <rPr>
        <vertAlign val="superscript"/>
        <sz val="11"/>
        <color theme="1"/>
        <rFont val="Calibri"/>
        <family val="2"/>
        <scheme val="minor"/>
      </rPr>
      <t>3</t>
    </r>
  </si>
  <si>
    <t>Assumptions</t>
  </si>
  <si>
    <t>Terminal Growth Rate</t>
  </si>
  <si>
    <t>2016E</t>
  </si>
  <si>
    <t>2017E</t>
  </si>
  <si>
    <t>2018E</t>
  </si>
  <si>
    <t xml:space="preserve"> + Depreciation &amp; amortization</t>
  </si>
  <si>
    <t>Free Cash Flow from Operations</t>
  </si>
  <si>
    <t>Total Free Cash Flow</t>
  </si>
  <si>
    <t>Description</t>
  </si>
  <si>
    <t>Source</t>
  </si>
  <si>
    <t>% Debt</t>
  </si>
  <si>
    <t>% Equity</t>
  </si>
  <si>
    <t>above</t>
  </si>
  <si>
    <t>Pre-tax cost of debt</t>
  </si>
  <si>
    <t>After-tax cost of debt</t>
  </si>
  <si>
    <t>WACC</t>
  </si>
  <si>
    <t>This sheet contains FactSet XML data for use with this workbook's =FDS codes.  Modifying the worksheet's contents may damage the workbook's =FDS functionality.</t>
  </si>
  <si>
    <t>calculated</t>
  </si>
  <si>
    <t>Debt/Capital</t>
  </si>
  <si>
    <t>PCP View</t>
  </si>
  <si>
    <t>BRK View</t>
  </si>
  <si>
    <t>Market Value of Equity</t>
  </si>
  <si>
    <t>Long Term Debt + Pension</t>
  </si>
  <si>
    <t>Total Capital</t>
  </si>
  <si>
    <t>Exhibit 9</t>
  </si>
  <si>
    <t xml:space="preserve"> - Taxes at 39%</t>
  </si>
  <si>
    <t>Footnote 1 and Exhibit 2</t>
  </si>
  <si>
    <t>Footnote 1</t>
  </si>
  <si>
    <t>Footnote 15</t>
  </si>
  <si>
    <t>Supplemental:</t>
  </si>
  <si>
    <t>Depr and Amort as a % of Sales</t>
  </si>
  <si>
    <t>Cap Ex as a % of Sales</t>
  </si>
  <si>
    <t>Working Capital as a % of Sales</t>
  </si>
  <si>
    <t>NPV and IRR</t>
  </si>
  <si>
    <t>American Express Company</t>
  </si>
  <si>
    <t>The Coca-Cola Company</t>
  </si>
  <si>
    <t>DaVita HealthCare Partners Inc.</t>
  </si>
  <si>
    <t>Deere &amp; Company</t>
  </si>
  <si>
    <t>DIRECTV</t>
  </si>
  <si>
    <t>The Goldman Sachs Group, Inc.</t>
  </si>
  <si>
    <t>International Business Machines Corp.</t>
  </si>
  <si>
    <t>Moody's Corporation</t>
  </si>
  <si>
    <t>Munich Re</t>
  </si>
  <si>
    <t>The Procter &amp; Gamble Company</t>
  </si>
  <si>
    <t>Sanofi</t>
  </si>
  <si>
    <t>U.S. Bancorp</t>
  </si>
  <si>
    <t>USG Corporation</t>
  </si>
  <si>
    <t>Wal-Mart Stores, Inc.</t>
  </si>
  <si>
    <t>Wells Fargo &amp; Company</t>
  </si>
  <si>
    <t>Others</t>
  </si>
  <si>
    <t>Total Common Stocks</t>
  </si>
  <si>
    <t>Cost</t>
  </si>
  <si>
    <t>Market</t>
  </si>
  <si>
    <t>Gain</t>
  </si>
  <si>
    <t>Percent Gain of Market over Cost</t>
  </si>
  <si>
    <t>Breakdown of Equity Portfolio Gain by Company</t>
  </si>
  <si>
    <t>% of Gain</t>
  </si>
  <si>
    <t>(dollar values in millions)</t>
  </si>
  <si>
    <t>Footnotes 6 and 15</t>
  </si>
  <si>
    <t>Exhibit TN3</t>
  </si>
  <si>
    <t>Estimation of Weighted Average Cost of Capital</t>
  </si>
  <si>
    <t>Assumed continuation of margin in 2015</t>
  </si>
  <si>
    <t>Assumed extension of growth rate in 2015</t>
  </si>
  <si>
    <t>Assumed extension of 2015 ratio.</t>
  </si>
  <si>
    <t>Exhibit TN4</t>
  </si>
  <si>
    <t>Exhibit TN1</t>
  </si>
  <si>
    <t>Warren E. Buffett, 2015</t>
  </si>
  <si>
    <t>Supplemental Historical Financial Results for Precision Castparts</t>
  </si>
  <si>
    <t>This spreadsheet supports INSTRUCTOR analysis of the case “Warren E. Buffett, 2015” (UVA-F-1769).</t>
  </si>
  <si>
    <r>
      <rPr>
        <sz val="10"/>
        <color indexed="8"/>
        <rFont val="Garamond"/>
        <family val="1"/>
      </rPr>
      <t xml:space="preserve">This spreadsheet was prepared by Robert F. Bruner, University Professor, Distinguished Professor of Business Administration, and Dean Emeritus. Copyright © 2017 by the University of Virginia Darden School Foundation, Charlottesville, VA. All rights reserved.  </t>
    </r>
    <r>
      <rPr>
        <i/>
        <sz val="10"/>
        <color indexed="8"/>
        <rFont val="Garamond"/>
        <family val="1"/>
      </rPr>
      <t>For customer service inquiries, send an e-mail to</t>
    </r>
    <r>
      <rPr>
        <sz val="10"/>
        <color indexed="8"/>
        <rFont val="Garamond"/>
        <family val="1"/>
      </rPr>
      <t>sales@dardenbusinesspublishing.com</t>
    </r>
    <r>
      <rPr>
        <i/>
        <sz val="10"/>
        <color indexed="8"/>
        <rFont val="Garamond"/>
        <family val="1"/>
      </rPr>
      <t xml:space="preserve">. No part of this publication may be reproduced, stored in a retrieval system, posted to the Internet, or transmitted in any form or by any means—electronic, mechanical, photocopying, recording, or otherwise—without the permission of the Darden School Foundation. </t>
    </r>
    <r>
      <rPr>
        <sz val="10"/>
        <color indexed="8"/>
        <rFont val="Garamond"/>
        <family val="1"/>
      </rPr>
      <t xml:space="preserve">Our goal is to publish materials of the highest quality, so please submit any errata to editorial@dardenbusinesspublishing.com.  </t>
    </r>
  </si>
  <si>
    <t>(In millions, except per share data, unless otherwise specified)</t>
  </si>
  <si>
    <t>12 months ending March 31</t>
  </si>
  <si>
    <t>*Note: Fiscal year ends March 31. Period listed as 2015 represents March 31, 2014, to March 31, 2015.</t>
  </si>
  <si>
    <t>Depreciation &amp; amortization</t>
  </si>
  <si>
    <r>
      <t>Capital expenditures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</si>
  <si>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Net working capital</t>
    </r>
    <r>
      <rPr>
        <vertAlign val="superscript"/>
        <sz val="11"/>
        <color theme="1"/>
        <rFont val="Calibri"/>
        <family val="2"/>
        <scheme val="minor"/>
      </rPr>
      <t>2</t>
    </r>
  </si>
  <si>
    <t>Increase in net working capital (decrease)</t>
  </si>
  <si>
    <t>Total liabilities and stockholders’ equity</t>
  </si>
  <si>
    <t>Data source: SEC filings by Precision Castparts.</t>
  </si>
  <si>
    <t>Data source: Case Exhibit 5.</t>
  </si>
  <si>
    <t>Source: Authors’ analysis.</t>
  </si>
  <si>
    <t>Market return</t>
  </si>
  <si>
    <t>Risk free rate</t>
  </si>
  <si>
    <t>Market risk premium</t>
  </si>
  <si>
    <t>Cost of equity</t>
  </si>
  <si>
    <t>AA-rated corporate bond yield</t>
  </si>
  <si>
    <t>Long-term debt ($ millions)</t>
  </si>
  <si>
    <t>MV equity ($ millions)</t>
  </si>
  <si>
    <t>Expected marginal tax rate</t>
  </si>
  <si>
    <t>Weighted-average cost of capital (WACC)</t>
  </si>
  <si>
    <r>
      <t>FCF Growth Estimate ’16</t>
    </r>
    <r>
      <rPr>
        <sz val="11"/>
        <color theme="1"/>
        <rFont val="Garamond"/>
        <family val="1"/>
      </rPr>
      <t>–</t>
    </r>
    <r>
      <rPr>
        <sz val="11"/>
        <color theme="1"/>
        <rFont val="Calibri"/>
        <family val="2"/>
        <scheme val="minor"/>
      </rPr>
      <t>’18</t>
    </r>
  </si>
  <si>
    <t>WACC (calculated in “WACC” tab)</t>
  </si>
  <si>
    <t>Revenue Growth Estimate ’16–’18</t>
  </si>
  <si>
    <t>EBT Margin Estinate ’16–’18</t>
  </si>
  <si>
    <t>Tax Rate ’16–’18</t>
  </si>
  <si>
    <t>IRR to Berkshire (WACC = 5.1%)</t>
  </si>
  <si>
    <t>Profit before Tax</t>
  </si>
  <si>
    <t>Profit after Tax</t>
  </si>
  <si>
    <t xml:space="preserve"> - Capital expenditures</t>
  </si>
  <si>
    <t xml:space="preserve"> - Increase net working capital</t>
  </si>
  <si>
    <t>Working capital</t>
  </si>
  <si>
    <t>Berkshire Hathaway investment</t>
  </si>
  <si>
    <t>IRR to Berkshire Hathaway (WACC = 5.1%)</t>
  </si>
  <si>
    <t>Net present value (discounted at WACC = 5.1%)</t>
  </si>
  <si>
    <t>IRR to Berkshire Hathaway (WACC = 8.0%)</t>
  </si>
  <si>
    <t>Net present value (discounted at WACC = 8.0%)</t>
  </si>
  <si>
    <t>Source: Author analysis.</t>
  </si>
  <si>
    <t xml:space="preserve">Note the following adjustments made to Income Statement to identify “recurring income”:  
1. Excluded restructuring charges.
2. Excluded equity in unconsolidated investments.
3. Excluded NCI (&lt;1% ownership).
4. Fiscal year ends March 31, 2015.
</t>
  </si>
  <si>
    <r>
      <rPr>
        <sz val="11"/>
        <color theme="1"/>
        <rFont val="Calibri"/>
        <family val="2"/>
      </rPr>
      <t xml:space="preserve">¹ </t>
    </r>
    <r>
      <rPr>
        <sz val="11"/>
        <color theme="1"/>
        <rFont val="Calibri"/>
        <family val="2"/>
        <scheme val="minor"/>
      </rPr>
      <t>Includes depreciation and amortization expenses of $214.9, $293.0, and $325.0 for years 2013, 2014, and 2015, respectively.
² Terminal value = free cash flow * (1 + g)/(WACC − g); assumes terminal growth rate of 2.5% and WACC is estimated as appropriate.</t>
    </r>
  </si>
  <si>
    <t xml:space="preserve"> + Terminal value at WACC of 5.1%²</t>
  </si>
  <si>
    <t xml:space="preserve"> + Terminal value at WACC of 8.0%²</t>
  </si>
  <si>
    <t xml:space="preserve"> - Cost of sales and operating expenses¹</t>
  </si>
  <si>
    <t>Operating expenses</t>
  </si>
  <si>
    <t>Consolidated net income from continuing operations</t>
  </si>
  <si>
    <t>Shareholders' equity</t>
  </si>
  <si>
    <t>Capital expenditures</t>
  </si>
  <si>
    <t>Net working capital</t>
  </si>
  <si>
    <t>Rev. Nov. 8,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</si>
</sst>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&quot;$&quot;#,##0_);_(* \(#,##0\);_(* &quot;-&quot;?_);_(@_)"/>
    <numFmt numFmtId="165" formatCode="_(* #,##0_);_(* \(#,##0\);_(* &quot;-&quot;?_);_(@_)"/>
    <numFmt numFmtId="166" formatCode="0.0%_);\(0.0%\);0.0%_);@_)"/>
    <numFmt numFmtId="167" formatCode="0.0%"/>
    <numFmt numFmtId="168" formatCode="&quot;$&quot;#,##0.0_);\(&quot;$&quot;#,##0.0\);&quot;$&quot;#,##0.0_);@_)"/>
    <numFmt numFmtId="169" formatCode="&quot;$&quot;#,##0.0_);\(&quot;$&quot;#,##0.0\)"/>
    <numFmt numFmtId="170" formatCode="&quot;$&quot;#,##0_);\(&quot;$&quot;#,##0\);&quot;$&quot;#,##0_);@_)"/>
    <numFmt numFmtId="171" formatCode="_(&quot;$&quot;* #,##0_);_(&quot;$&quot;* \(#,##0\);_(&quot;$&quot;* &quot;-&quot;??_);_(@_)"/>
    <numFmt numFmtId="172" formatCode="_(* #,##0_);_(* \(#,##0\);_(* &quot;-&quot;??_);_(@_)"/>
    <numFmt numFmtId="173" formatCode="0.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0"/>
      <name val="Arial"/>
      <family val="2"/>
    </font>
    <font>
      <sz val="11"/>
      <name val="Garamond"/>
      <family val="1"/>
    </font>
    <font>
      <b/>
      <sz val="12"/>
      <name val="Arial"/>
      <family val="2"/>
    </font>
    <font>
      <sz val="10"/>
      <color theme="1"/>
      <name val="arial"/>
      <family val="2"/>
    </font>
    <font>
      <i/>
      <sz val="10"/>
      <color indexed="8"/>
      <name val="Garamond"/>
      <family val="1"/>
    </font>
    <font>
      <sz val="10"/>
      <color indexed="8"/>
      <name val="Garamond"/>
      <family val="1"/>
    </font>
    <font>
      <sz val="10"/>
      <color theme="1"/>
      <name val="Garamond"/>
      <family val="1"/>
    </font>
    <font>
      <sz val="8"/>
      <color theme="1"/>
      <name val="Garamond"/>
      <family val="1"/>
    </font>
    <font>
      <sz val="11"/>
      <color theme="1"/>
      <name val="Garamond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7903B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8" fillId="0" borderId="0"/>
  </cellStyleXfs>
  <cellXfs count="143">
    <xf numFmtId="0" fontId="0" fillId="0" borderId="0" xfId="0"/>
    <xf numFmtId="10" fontId="0" fillId="0" borderId="0" xfId="0" applyNumberFormat="1"/>
    <xf numFmtId="10" fontId="3" fillId="0" borderId="0" xfId="0" applyNumberFormat="1" applyFont="1"/>
    <xf numFmtId="10" fontId="0" fillId="0" borderId="0" xfId="0" applyNumberFormat="1" applyFont="1"/>
    <xf numFmtId="0" fontId="3" fillId="0" borderId="0" xfId="0" applyFont="1"/>
    <xf numFmtId="0" fontId="2" fillId="0" borderId="0" xfId="1" applyFont="1" applyAlignment="1">
      <alignment vertical="top"/>
    </xf>
    <xf numFmtId="0" fontId="1" fillId="0" borderId="0" xfId="1"/>
    <xf numFmtId="0" fontId="4" fillId="0" borderId="0" xfId="1" applyFont="1" applyAlignment="1">
      <alignment horizontal="left" vertical="center" wrapText="1" indent="1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right" vertical="center" wrapText="1"/>
    </xf>
    <xf numFmtId="0" fontId="5" fillId="0" borderId="1" xfId="1" applyFont="1" applyBorder="1" applyAlignment="1">
      <alignment horizontal="right" vertical="center" wrapText="1"/>
    </xf>
    <xf numFmtId="0" fontId="1" fillId="0" borderId="0" xfId="1" applyFont="1"/>
    <xf numFmtId="0" fontId="1" fillId="0" borderId="0" xfId="1" applyAlignment="1">
      <alignment vertical="top" wrapText="1"/>
    </xf>
    <xf numFmtId="164" fontId="1" fillId="0" borderId="0" xfId="1" applyNumberFormat="1" applyFont="1" applyAlignment="1">
      <alignment wrapText="1"/>
    </xf>
    <xf numFmtId="164" fontId="1" fillId="0" borderId="1" xfId="1" applyNumberFormat="1" applyFont="1" applyBorder="1" applyAlignment="1">
      <alignment wrapText="1"/>
    </xf>
    <xf numFmtId="0" fontId="1" fillId="0" borderId="0" xfId="1" applyAlignment="1">
      <alignment horizontal="left" vertical="top" wrapText="1"/>
    </xf>
    <xf numFmtId="165" fontId="3" fillId="0" borderId="0" xfId="1" applyNumberFormat="1" applyFont="1" applyAlignment="1">
      <alignment wrapText="1"/>
    </xf>
    <xf numFmtId="165" fontId="3" fillId="0" borderId="1" xfId="1" applyNumberFormat="1" applyFont="1" applyBorder="1" applyAlignment="1">
      <alignment wrapText="1"/>
    </xf>
    <xf numFmtId="165" fontId="1" fillId="0" borderId="0" xfId="1" applyNumberFormat="1" applyFont="1" applyAlignment="1">
      <alignment wrapText="1"/>
    </xf>
    <xf numFmtId="165" fontId="1" fillId="0" borderId="1" xfId="1" applyNumberFormat="1" applyFont="1" applyBorder="1" applyAlignment="1">
      <alignment wrapText="1"/>
    </xf>
    <xf numFmtId="164" fontId="7" fillId="0" borderId="0" xfId="1" applyNumberFormat="1" applyFont="1" applyAlignment="1">
      <alignment wrapText="1"/>
    </xf>
    <xf numFmtId="164" fontId="7" fillId="0" borderId="1" xfId="1" applyNumberFormat="1" applyFont="1" applyBorder="1" applyAlignment="1">
      <alignment wrapText="1"/>
    </xf>
    <xf numFmtId="166" fontId="1" fillId="0" borderId="0" xfId="1" applyNumberFormat="1" applyAlignment="1">
      <alignment wrapText="1"/>
    </xf>
    <xf numFmtId="166" fontId="1" fillId="0" borderId="1" xfId="1" applyNumberFormat="1" applyBorder="1" applyAlignment="1">
      <alignment wrapText="1"/>
    </xf>
    <xf numFmtId="3" fontId="1" fillId="0" borderId="0" xfId="1" applyNumberFormat="1" applyAlignment="1">
      <alignment wrapText="1"/>
    </xf>
    <xf numFmtId="3" fontId="1" fillId="0" borderId="1" xfId="1" applyNumberFormat="1" applyBorder="1" applyAlignment="1">
      <alignment wrapText="1"/>
    </xf>
    <xf numFmtId="0" fontId="5" fillId="0" borderId="0" xfId="1" applyFont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2" fillId="0" borderId="0" xfId="1" applyFont="1" applyAlignment="1">
      <alignment vertical="top" wrapText="1"/>
    </xf>
    <xf numFmtId="0" fontId="1" fillId="0" borderId="0" xfId="1" applyAlignment="1">
      <alignment wrapText="1"/>
    </xf>
    <xf numFmtId="0" fontId="1" fillId="0" borderId="1" xfId="1" applyBorder="1" applyAlignment="1">
      <alignment wrapText="1"/>
    </xf>
    <xf numFmtId="164" fontId="3" fillId="0" borderId="0" xfId="1" applyNumberFormat="1" applyFont="1" applyAlignment="1">
      <alignment wrapText="1"/>
    </xf>
    <xf numFmtId="164" fontId="3" fillId="0" borderId="1" xfId="1" applyNumberFormat="1" applyFont="1" applyBorder="1" applyAlignment="1">
      <alignment wrapText="1"/>
    </xf>
    <xf numFmtId="0" fontId="1" fillId="0" borderId="1" xfId="1" applyBorder="1"/>
    <xf numFmtId="0" fontId="8" fillId="0" borderId="0" xfId="1" applyFont="1"/>
    <xf numFmtId="0" fontId="2" fillId="0" borderId="0" xfId="1" applyFont="1"/>
    <xf numFmtId="167" fontId="1" fillId="0" borderId="3" xfId="1" applyNumberFormat="1" applyBorder="1"/>
    <xf numFmtId="0" fontId="1" fillId="0" borderId="4" xfId="1" applyFont="1" applyBorder="1"/>
    <xf numFmtId="167" fontId="1" fillId="0" borderId="1" xfId="1" applyNumberFormat="1" applyBorder="1"/>
    <xf numFmtId="167" fontId="1" fillId="0" borderId="0" xfId="1" applyNumberFormat="1" applyBorder="1"/>
    <xf numFmtId="0" fontId="0" fillId="0" borderId="0" xfId="1" applyFont="1"/>
    <xf numFmtId="0" fontId="11" fillId="0" borderId="0" xfId="0" applyFont="1"/>
    <xf numFmtId="0" fontId="2" fillId="0" borderId="0" xfId="0" applyFont="1"/>
    <xf numFmtId="6" fontId="0" fillId="0" borderId="0" xfId="0" applyNumberFormat="1"/>
    <xf numFmtId="170" fontId="0" fillId="0" borderId="0" xfId="0" applyNumberFormat="1" applyFill="1"/>
    <xf numFmtId="166" fontId="0" fillId="0" borderId="0" xfId="0" applyNumberFormat="1"/>
    <xf numFmtId="0" fontId="2" fillId="0" borderId="10" xfId="0" applyFont="1" applyBorder="1"/>
    <xf numFmtId="167" fontId="0" fillId="0" borderId="0" xfId="0" applyNumberFormat="1"/>
    <xf numFmtId="0" fontId="0" fillId="0" borderId="11" xfId="0" applyBorder="1"/>
    <xf numFmtId="166" fontId="0" fillId="0" borderId="12" xfId="0" applyNumberFormat="1" applyFont="1" applyBorder="1"/>
    <xf numFmtId="0" fontId="0" fillId="0" borderId="0" xfId="1" quotePrefix="1" applyFont="1" applyAlignment="1"/>
    <xf numFmtId="0" fontId="8" fillId="0" borderId="0" xfId="0" applyFont="1"/>
    <xf numFmtId="0" fontId="8" fillId="0" borderId="13" xfId="0" applyFont="1" applyBorder="1"/>
    <xf numFmtId="0" fontId="5" fillId="0" borderId="0" xfId="1" applyFont="1"/>
    <xf numFmtId="0" fontId="2" fillId="0" borderId="10" xfId="0" applyFont="1" applyBorder="1" applyAlignment="1">
      <alignment horizontal="right"/>
    </xf>
    <xf numFmtId="2" fontId="3" fillId="0" borderId="0" xfId="0" applyNumberFormat="1" applyFont="1"/>
    <xf numFmtId="165" fontId="13" fillId="0" borderId="0" xfId="1" applyNumberFormat="1" applyFont="1"/>
    <xf numFmtId="10" fontId="0" fillId="0" borderId="12" xfId="0" applyNumberFormat="1" applyBorder="1"/>
    <xf numFmtId="0" fontId="1" fillId="0" borderId="0" xfId="1" applyBorder="1"/>
    <xf numFmtId="0" fontId="0" fillId="0" borderId="4" xfId="1" applyFont="1" applyBorder="1"/>
    <xf numFmtId="169" fontId="9" fillId="0" borderId="0" xfId="1" applyNumberFormat="1" applyFont="1" applyFill="1" applyBorder="1" applyAlignment="1"/>
    <xf numFmtId="169" fontId="9" fillId="0" borderId="1" xfId="1" applyNumberFormat="1" applyFont="1" applyFill="1" applyBorder="1" applyAlignment="1"/>
    <xf numFmtId="0" fontId="1" fillId="2" borderId="0" xfId="1" applyFill="1"/>
    <xf numFmtId="0" fontId="5" fillId="2" borderId="0" xfId="1" applyFont="1" applyFill="1"/>
    <xf numFmtId="0" fontId="5" fillId="2" borderId="0" xfId="1" applyFont="1" applyFill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2" fillId="2" borderId="0" xfId="1" applyFont="1" applyFill="1"/>
    <xf numFmtId="0" fontId="1" fillId="2" borderId="1" xfId="1" applyFill="1" applyBorder="1"/>
    <xf numFmtId="0" fontId="0" fillId="2" borderId="0" xfId="1" applyFont="1" applyFill="1"/>
    <xf numFmtId="164" fontId="1" fillId="2" borderId="0" xfId="1" applyNumberFormat="1" applyFont="1" applyFill="1" applyAlignment="1">
      <alignment wrapText="1"/>
    </xf>
    <xf numFmtId="164" fontId="1" fillId="2" borderId="1" xfId="1" applyNumberFormat="1" applyFont="1" applyFill="1" applyBorder="1" applyAlignment="1">
      <alignment wrapText="1"/>
    </xf>
    <xf numFmtId="6" fontId="1" fillId="2" borderId="0" xfId="1" applyNumberFormat="1" applyFont="1" applyFill="1" applyAlignment="1">
      <alignment wrapText="1"/>
    </xf>
    <xf numFmtId="6" fontId="1" fillId="2" borderId="1" xfId="1" applyNumberFormat="1" applyFont="1" applyFill="1" applyBorder="1" applyAlignment="1">
      <alignment wrapText="1"/>
    </xf>
    <xf numFmtId="6" fontId="1" fillId="2" borderId="0" xfId="1" applyNumberFormat="1" applyFill="1"/>
    <xf numFmtId="6" fontId="1" fillId="2" borderId="1" xfId="1" applyNumberFormat="1" applyFill="1" applyBorder="1"/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6" fontId="12" fillId="0" borderId="1" xfId="1" applyNumberFormat="1" applyFont="1" applyBorder="1"/>
    <xf numFmtId="0" fontId="1" fillId="0" borderId="0" xfId="1" applyFill="1"/>
    <xf numFmtId="9" fontId="0" fillId="0" borderId="0" xfId="2" applyFont="1"/>
    <xf numFmtId="9" fontId="3" fillId="0" borderId="0" xfId="2" applyFont="1"/>
    <xf numFmtId="0" fontId="5" fillId="0" borderId="0" xfId="0" applyFont="1"/>
    <xf numFmtId="171" fontId="0" fillId="0" borderId="0" xfId="4" applyNumberFormat="1" applyFont="1"/>
    <xf numFmtId="0" fontId="5" fillId="0" borderId="0" xfId="0" applyFont="1" applyAlignment="1">
      <alignment horizontal="center"/>
    </xf>
    <xf numFmtId="172" fontId="0" fillId="0" borderId="0" xfId="3" applyNumberFormat="1" applyFont="1"/>
    <xf numFmtId="172" fontId="3" fillId="0" borderId="0" xfId="3" applyNumberFormat="1" applyFont="1"/>
    <xf numFmtId="0" fontId="0" fillId="0" borderId="0" xfId="0" applyAlignment="1">
      <alignment horizontal="center"/>
    </xf>
    <xf numFmtId="167" fontId="1" fillId="0" borderId="0" xfId="2" applyNumberFormat="1"/>
    <xf numFmtId="171" fontId="1" fillId="0" borderId="0" xfId="4" applyNumberFormat="1"/>
    <xf numFmtId="173" fontId="1" fillId="0" borderId="0" xfId="1" applyNumberFormat="1"/>
    <xf numFmtId="0" fontId="0" fillId="0" borderId="4" xfId="1" applyFont="1" applyFill="1" applyBorder="1"/>
    <xf numFmtId="167" fontId="1" fillId="0" borderId="1" xfId="1" applyNumberFormat="1" applyFill="1" applyBorder="1"/>
    <xf numFmtId="0" fontId="0" fillId="0" borderId="0" xfId="1" applyFont="1" applyFill="1"/>
    <xf numFmtId="167" fontId="1" fillId="0" borderId="0" xfId="1" applyNumberFormat="1" applyFill="1" applyBorder="1"/>
    <xf numFmtId="10" fontId="1" fillId="0" borderId="1" xfId="1" applyNumberFormat="1" applyFill="1" applyBorder="1"/>
    <xf numFmtId="167" fontId="11" fillId="0" borderId="0" xfId="1" applyNumberFormat="1" applyFont="1" applyFill="1" applyBorder="1"/>
    <xf numFmtId="0" fontId="0" fillId="0" borderId="5" xfId="1" applyFont="1" applyFill="1" applyBorder="1"/>
    <xf numFmtId="10" fontId="1" fillId="0" borderId="6" xfId="1" applyNumberFormat="1" applyFill="1" applyBorder="1"/>
    <xf numFmtId="0" fontId="0" fillId="0" borderId="0" xfId="1" applyFont="1" applyFill="1" applyBorder="1"/>
    <xf numFmtId="10" fontId="1" fillId="0" borderId="0" xfId="1" applyNumberFormat="1" applyFill="1" applyBorder="1"/>
    <xf numFmtId="0" fontId="2" fillId="0" borderId="0" xfId="1" applyFont="1" applyFill="1" applyAlignment="1">
      <alignment horizontal="centerContinuous" vertical="center"/>
    </xf>
    <xf numFmtId="0" fontId="1" fillId="0" borderId="0" xfId="1" applyFill="1" applyAlignment="1">
      <alignment horizontal="centerContinuous"/>
    </xf>
    <xf numFmtId="0" fontId="1" fillId="0" borderId="0" xfId="1" applyFill="1" applyBorder="1" applyAlignment="1">
      <alignment horizontal="centerContinuous"/>
    </xf>
    <xf numFmtId="0" fontId="5" fillId="0" borderId="0" xfId="1" applyFont="1" applyFill="1" applyAlignment="1">
      <alignment horizontal="righ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2" fillId="0" borderId="0" xfId="1" applyFont="1" applyFill="1"/>
    <xf numFmtId="168" fontId="1" fillId="0" borderId="0" xfId="1" applyNumberFormat="1" applyFill="1"/>
    <xf numFmtId="168" fontId="1" fillId="0" borderId="1" xfId="1" applyNumberFormat="1" applyFill="1" applyBorder="1"/>
    <xf numFmtId="0" fontId="1" fillId="0" borderId="0" xfId="1" applyFont="1" applyFill="1"/>
    <xf numFmtId="0" fontId="1" fillId="0" borderId="1" xfId="1" applyFill="1" applyBorder="1"/>
    <xf numFmtId="169" fontId="1" fillId="0" borderId="0" xfId="1" applyNumberFormat="1" applyFill="1"/>
    <xf numFmtId="169" fontId="1" fillId="0" borderId="1" xfId="1" applyNumberFormat="1" applyFill="1" applyBorder="1"/>
    <xf numFmtId="168" fontId="1" fillId="0" borderId="0" xfId="1" applyNumberFormat="1" applyFill="1" applyBorder="1"/>
    <xf numFmtId="168" fontId="1" fillId="0" borderId="0" xfId="1" applyNumberFormat="1" applyFont="1" applyFill="1"/>
    <xf numFmtId="6" fontId="12" fillId="0" borderId="1" xfId="1" applyNumberFormat="1" applyFont="1" applyFill="1" applyBorder="1"/>
    <xf numFmtId="6" fontId="1" fillId="0" borderId="0" xfId="1" applyNumberFormat="1" applyFill="1"/>
    <xf numFmtId="6" fontId="1" fillId="0" borderId="1" xfId="1" applyNumberFormat="1" applyFill="1" applyBorder="1"/>
    <xf numFmtId="6" fontId="1" fillId="0" borderId="0" xfId="1" applyNumberFormat="1" applyFont="1" applyFill="1"/>
    <xf numFmtId="0" fontId="5" fillId="0" borderId="0" xfId="1" applyFont="1" applyFill="1"/>
    <xf numFmtId="8" fontId="2" fillId="0" borderId="1" xfId="1" applyNumberFormat="1" applyFont="1" applyFill="1" applyBorder="1"/>
    <xf numFmtId="169" fontId="2" fillId="0" borderId="0" xfId="1" applyNumberFormat="1" applyFont="1" applyFill="1"/>
    <xf numFmtId="170" fontId="1" fillId="0" borderId="1" xfId="1" applyNumberFormat="1" applyFill="1" applyBorder="1"/>
    <xf numFmtId="0" fontId="0" fillId="0" borderId="7" xfId="1" applyFont="1" applyFill="1" applyBorder="1"/>
    <xf numFmtId="0" fontId="1" fillId="0" borderId="8" xfId="1" applyFill="1" applyBorder="1"/>
    <xf numFmtId="167" fontId="1" fillId="0" borderId="9" xfId="1" applyNumberFormat="1" applyFill="1" applyBorder="1"/>
    <xf numFmtId="0" fontId="1" fillId="0" borderId="0" xfId="5"/>
    <xf numFmtId="0" fontId="16" fillId="3" borderId="0" xfId="6" applyFont="1" applyFill="1" applyAlignment="1">
      <alignment horizontal="center" vertical="center" wrapText="1"/>
    </xf>
    <xf numFmtId="0" fontId="17" fillId="0" borderId="0" xfId="6" applyFont="1" applyFill="1" applyAlignment="1">
      <alignment horizontal="center" vertical="center" wrapText="1"/>
    </xf>
    <xf numFmtId="49" fontId="22" fillId="0" borderId="0" xfId="5" applyNumberFormat="1" applyFont="1"/>
    <xf numFmtId="0" fontId="1" fillId="0" borderId="0" xfId="5" applyBorder="1"/>
    <xf numFmtId="0" fontId="0" fillId="0" borderId="0" xfId="1" applyFont="1" applyAlignment="1">
      <alignment vertical="top" wrapText="1"/>
    </xf>
    <xf numFmtId="0" fontId="22" fillId="0" borderId="0" xfId="0" applyFont="1"/>
    <xf numFmtId="0" fontId="0" fillId="0" borderId="2" xfId="1" applyFont="1" applyBorder="1"/>
    <xf numFmtId="0" fontId="1" fillId="0" borderId="0" xfId="1" applyAlignment="1"/>
    <xf numFmtId="0" fontId="0" fillId="0" borderId="0" xfId="1" applyFont="1" applyAlignment="1">
      <alignment horizontal="left" vertical="top" wrapText="1"/>
    </xf>
    <xf numFmtId="0" fontId="19" fillId="0" borderId="0" xfId="7" applyFont="1" applyBorder="1" applyAlignment="1">
      <alignment horizontal="justify" vertical="top" wrapText="1"/>
    </xf>
    <xf numFmtId="0" fontId="21" fillId="0" borderId="0" xfId="7" applyFont="1" applyAlignment="1">
      <alignment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vertical="center"/>
    </xf>
    <xf numFmtId="0" fontId="0" fillId="0" borderId="0" xfId="1" applyFont="1" applyAlignment="1">
      <alignment horizontal="left" wrapText="1"/>
    </xf>
  </cellXfs>
  <cellStyles count="8">
    <cellStyle name="Comma" xfId="3" builtinId="3"/>
    <cellStyle name="Currency" xfId="4" builtinId="4"/>
    <cellStyle name="Normal" xfId="0" builtinId="0"/>
    <cellStyle name="Normal 2" xfId="5"/>
    <cellStyle name="Normal 2 2" xfId="6"/>
    <cellStyle name="Normal 3" xfId="1"/>
    <cellStyle name="Normal 3 2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133351</xdr:rowOff>
    </xdr:from>
    <xdr:to>
      <xdr:col>0</xdr:col>
      <xdr:colOff>2235536</xdr:colOff>
      <xdr:row>1</xdr:row>
      <xdr:rowOff>737203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1"/>
          <a:ext cx="2235536" cy="603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434340</xdr:colOff>
      <xdr:row>3</xdr:row>
      <xdr:rowOff>91440</xdr:rowOff>
    </xdr:from>
    <xdr:to>
      <xdr:col>22</xdr:col>
      <xdr:colOff>472440</xdr:colOff>
      <xdr:row>21</xdr:row>
      <xdr:rowOff>85725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4120" y="3566160"/>
          <a:ext cx="5524500" cy="3286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428624</xdr:colOff>
      <xdr:row>5</xdr:row>
      <xdr:rowOff>95251</xdr:rowOff>
    </xdr:from>
    <xdr:to>
      <xdr:col>12</xdr:col>
      <xdr:colOff>3775</xdr:colOff>
      <xdr:row>10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" y="1047751"/>
          <a:ext cx="3099401" cy="914399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16</xdr:row>
      <xdr:rowOff>190499</xdr:rowOff>
    </xdr:from>
    <xdr:to>
      <xdr:col>12</xdr:col>
      <xdr:colOff>0</xdr:colOff>
      <xdr:row>24</xdr:row>
      <xdr:rowOff>66674</xdr:rowOff>
    </xdr:to>
    <xdr:pic>
      <xdr:nvPicPr>
        <xdr:cNvPr id="4" name="Picture 3" descr="Image result for cost of capital formula">
          <a:extLst>
            <a:ext uri="{FF2B5EF4-FFF2-40B4-BE49-F238E27FC236}">
              <a16:creationId xmlns:a16="http://schemas.microsoft.com/office/drawing/2014/main" id="{F7AF5F26-5AF5-4C9C-938A-3B388158114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238499"/>
          <a:ext cx="291465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5" x14ac:dyDescent="0.25"/>
  <sheetData>
    <row r="1" spans="1:2" x14ac:dyDescent="0.25">
      <c r="B1" t="s">
        <v>39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7"/>
  <sheetViews>
    <sheetView tabSelected="1" workbookViewId="0"/>
  </sheetViews>
  <sheetFormatPr defaultColWidth="9.140625" defaultRowHeight="15" x14ac:dyDescent="0.25"/>
  <cols>
    <col min="1" max="1" width="33.7109375" style="125" customWidth="1"/>
    <col min="2" max="2" width="100.7109375" style="125" customWidth="1"/>
    <col min="3" max="16384" width="9.140625" style="125"/>
  </cols>
  <sheetData>
    <row r="2" spans="1:2" ht="65.25" customHeight="1" x14ac:dyDescent="0.25">
      <c r="B2" s="126" t="s">
        <v>91</v>
      </c>
    </row>
    <row r="3" spans="1:2" ht="13.5" customHeight="1" x14ac:dyDescent="0.25">
      <c r="A3" s="127"/>
      <c r="B3" s="127"/>
    </row>
    <row r="4" spans="1:2" ht="61.5" customHeight="1" x14ac:dyDescent="0.25">
      <c r="A4" s="135" t="s">
        <v>92</v>
      </c>
      <c r="B4" s="136"/>
    </row>
    <row r="5" spans="1:2" x14ac:dyDescent="0.25">
      <c r="A5" s="128" t="s">
        <v>140</v>
      </c>
    </row>
    <row r="6" spans="1:2" x14ac:dyDescent="0.25">
      <c r="A6" s="129"/>
      <c r="B6" s="129"/>
    </row>
    <row r="7" spans="1:2" x14ac:dyDescent="0.25">
      <c r="A7" s="129"/>
    </row>
  </sheetData>
  <mergeCells count="1">
    <mergeCell ref="A4:B4"/>
  </mergeCells>
  <pageMargins left="0.7" right="0.7" top="0.75" bottom="0.75" header="0.3" footer="0.3"/>
  <pageSetup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44"/>
  <sheetViews>
    <sheetView showGridLines="0" workbookViewId="0"/>
  </sheetViews>
  <sheetFormatPr defaultRowHeight="15" x14ac:dyDescent="0.25"/>
  <cols>
    <col min="3" max="3" width="2.85546875" customWidth="1"/>
    <col min="4" max="4" width="40.42578125" customWidth="1"/>
    <col min="5" max="6" width="11.28515625" customWidth="1"/>
    <col min="7" max="7" width="19.42578125" customWidth="1"/>
  </cols>
  <sheetData>
    <row r="2" spans="3:7" x14ac:dyDescent="0.25">
      <c r="D2" s="137" t="s">
        <v>88</v>
      </c>
      <c r="E2" s="137"/>
      <c r="F2" s="137"/>
      <c r="G2" s="137"/>
    </row>
    <row r="3" spans="3:7" x14ac:dyDescent="0.25">
      <c r="D3" s="137" t="s">
        <v>89</v>
      </c>
      <c r="E3" s="137"/>
      <c r="F3" s="137"/>
      <c r="G3" s="137"/>
    </row>
    <row r="4" spans="3:7" x14ac:dyDescent="0.25">
      <c r="D4" s="138" t="s">
        <v>90</v>
      </c>
      <c r="E4" s="138"/>
      <c r="F4" s="138"/>
      <c r="G4" s="138"/>
    </row>
    <row r="6" spans="3:7" x14ac:dyDescent="0.25">
      <c r="C6" s="5" t="s">
        <v>2</v>
      </c>
      <c r="D6" s="6"/>
      <c r="E6" s="6"/>
      <c r="F6" s="6"/>
      <c r="G6" s="6"/>
    </row>
    <row r="7" spans="3:7" ht="24" x14ac:dyDescent="0.25">
      <c r="C7" s="6"/>
      <c r="D7" s="7" t="s">
        <v>93</v>
      </c>
      <c r="E7" s="8" t="s">
        <v>94</v>
      </c>
      <c r="F7" s="6"/>
      <c r="G7" s="6"/>
    </row>
    <row r="8" spans="3:7" x14ac:dyDescent="0.25">
      <c r="C8" s="6"/>
      <c r="D8" s="6"/>
      <c r="E8" s="9">
        <v>2013</v>
      </c>
      <c r="F8" s="9">
        <v>2014</v>
      </c>
      <c r="G8" s="10">
        <v>2015</v>
      </c>
    </row>
    <row r="9" spans="3:7" x14ac:dyDescent="0.25">
      <c r="C9" s="6"/>
      <c r="D9" s="12" t="s">
        <v>3</v>
      </c>
      <c r="E9" s="13">
        <v>8347</v>
      </c>
      <c r="F9" s="13">
        <v>9533</v>
      </c>
      <c r="G9" s="14">
        <v>10005</v>
      </c>
    </row>
    <row r="10" spans="3:7" x14ac:dyDescent="0.25">
      <c r="C10" s="6"/>
      <c r="D10" s="134" t="s">
        <v>135</v>
      </c>
      <c r="E10" s="16">
        <v>6188</v>
      </c>
      <c r="F10" s="16">
        <v>6874</v>
      </c>
      <c r="G10" s="17">
        <v>7393</v>
      </c>
    </row>
    <row r="11" spans="3:7" x14ac:dyDescent="0.25">
      <c r="C11" s="6"/>
      <c r="D11" s="12" t="s">
        <v>5</v>
      </c>
      <c r="E11" s="18">
        <f>E9-E10</f>
        <v>2159</v>
      </c>
      <c r="F11" s="18">
        <f>F9-F10</f>
        <v>2659</v>
      </c>
      <c r="G11" s="19">
        <f>G9-G10</f>
        <v>2612</v>
      </c>
    </row>
    <row r="12" spans="3:7" x14ac:dyDescent="0.25">
      <c r="C12" s="6"/>
      <c r="D12" s="15" t="s">
        <v>6</v>
      </c>
      <c r="E12" s="16">
        <v>31</v>
      </c>
      <c r="F12" s="16">
        <v>71</v>
      </c>
      <c r="G12" s="17">
        <v>65</v>
      </c>
    </row>
    <row r="13" spans="3:7" x14ac:dyDescent="0.25">
      <c r="C13" s="6"/>
      <c r="D13" s="12" t="s">
        <v>7</v>
      </c>
      <c r="E13" s="18">
        <f>E11-E12</f>
        <v>2128</v>
      </c>
      <c r="F13" s="18">
        <f>F11-F12</f>
        <v>2588</v>
      </c>
      <c r="G13" s="19">
        <f>G11-G12</f>
        <v>2547</v>
      </c>
    </row>
    <row r="14" spans="3:7" x14ac:dyDescent="0.25">
      <c r="C14" s="6"/>
      <c r="D14" s="15" t="s">
        <v>8</v>
      </c>
      <c r="E14" s="16">
        <v>695</v>
      </c>
      <c r="F14" s="16">
        <v>830</v>
      </c>
      <c r="G14" s="17">
        <v>816</v>
      </c>
    </row>
    <row r="15" spans="3:7" ht="30" x14ac:dyDescent="0.4">
      <c r="C15" s="6"/>
      <c r="D15" s="130" t="s">
        <v>136</v>
      </c>
      <c r="E15" s="20">
        <v>1433</v>
      </c>
      <c r="F15" s="20">
        <v>1758</v>
      </c>
      <c r="G15" s="21">
        <v>1731</v>
      </c>
    </row>
    <row r="16" spans="3:7" x14ac:dyDescent="0.25">
      <c r="C16" s="6"/>
      <c r="D16" s="12"/>
      <c r="E16" s="22"/>
      <c r="F16" s="22"/>
      <c r="G16" s="23"/>
    </row>
    <row r="17" spans="3:7" x14ac:dyDescent="0.25">
      <c r="C17" s="5" t="s">
        <v>10</v>
      </c>
      <c r="D17" s="6"/>
      <c r="E17" s="8" t="s">
        <v>94</v>
      </c>
      <c r="F17" s="6"/>
      <c r="G17" s="25"/>
    </row>
    <row r="18" spans="3:7" ht="24" x14ac:dyDescent="0.25">
      <c r="C18" s="6"/>
      <c r="D18" s="7" t="s">
        <v>93</v>
      </c>
      <c r="E18" s="6"/>
      <c r="F18" s="26">
        <v>2014</v>
      </c>
      <c r="G18" s="27">
        <v>2015</v>
      </c>
    </row>
    <row r="19" spans="3:7" x14ac:dyDescent="0.25">
      <c r="C19" s="6"/>
      <c r="D19" s="28" t="s">
        <v>11</v>
      </c>
      <c r="E19" s="6"/>
      <c r="F19" s="29"/>
      <c r="G19" s="30"/>
    </row>
    <row r="20" spans="3:7" x14ac:dyDescent="0.25">
      <c r="C20" s="6"/>
      <c r="D20" s="12" t="s">
        <v>12</v>
      </c>
      <c r="E20" s="6"/>
      <c r="F20" s="13">
        <v>5507</v>
      </c>
      <c r="G20" s="14">
        <v>5972</v>
      </c>
    </row>
    <row r="21" spans="3:7" x14ac:dyDescent="0.25">
      <c r="C21" s="6"/>
      <c r="D21" s="12" t="s">
        <v>13</v>
      </c>
      <c r="E21" s="6"/>
      <c r="F21" s="18">
        <v>2300</v>
      </c>
      <c r="G21" s="19">
        <v>2474</v>
      </c>
    </row>
    <row r="22" spans="3:7" x14ac:dyDescent="0.25">
      <c r="C22" s="6"/>
      <c r="D22" s="12" t="s">
        <v>14</v>
      </c>
      <c r="E22" s="6"/>
      <c r="F22" s="16">
        <v>10779</v>
      </c>
      <c r="G22" s="17">
        <v>10982</v>
      </c>
    </row>
    <row r="23" spans="3:7" x14ac:dyDescent="0.25">
      <c r="C23" s="6"/>
      <c r="D23" s="12" t="s">
        <v>15</v>
      </c>
      <c r="E23" s="6"/>
      <c r="F23" s="31">
        <v>18586</v>
      </c>
      <c r="G23" s="32">
        <v>19428</v>
      </c>
    </row>
    <row r="24" spans="3:7" x14ac:dyDescent="0.25">
      <c r="C24" s="6"/>
      <c r="D24" s="12"/>
      <c r="E24" s="6"/>
      <c r="F24" s="24"/>
      <c r="G24" s="32"/>
    </row>
    <row r="25" spans="3:7" x14ac:dyDescent="0.25">
      <c r="C25" s="6"/>
      <c r="D25" s="28" t="s">
        <v>16</v>
      </c>
      <c r="E25" s="6"/>
      <c r="F25" s="29"/>
      <c r="G25" s="30"/>
    </row>
    <row r="26" spans="3:7" x14ac:dyDescent="0.25">
      <c r="C26" s="6"/>
      <c r="D26" s="12" t="s">
        <v>17</v>
      </c>
      <c r="E26" s="6"/>
      <c r="F26" s="13">
        <v>1608</v>
      </c>
      <c r="G26" s="14">
        <v>2827</v>
      </c>
    </row>
    <row r="27" spans="3:7" x14ac:dyDescent="0.25">
      <c r="C27" s="6"/>
      <c r="D27" s="12" t="s">
        <v>18</v>
      </c>
      <c r="E27" s="6"/>
      <c r="F27" s="18">
        <v>3569</v>
      </c>
      <c r="G27" s="19">
        <v>3493</v>
      </c>
    </row>
    <row r="28" spans="3:7" x14ac:dyDescent="0.25">
      <c r="C28" s="6"/>
      <c r="D28" s="12" t="s">
        <v>19</v>
      </c>
      <c r="E28" s="6"/>
      <c r="F28" s="18">
        <v>442</v>
      </c>
      <c r="G28" s="19">
        <v>678</v>
      </c>
    </row>
    <row r="29" spans="3:7" x14ac:dyDescent="0.25">
      <c r="C29" s="6"/>
      <c r="D29" s="12" t="s">
        <v>20</v>
      </c>
      <c r="E29" s="6"/>
      <c r="F29" s="16">
        <v>1554</v>
      </c>
      <c r="G29" s="17">
        <v>1473</v>
      </c>
    </row>
    <row r="30" spans="3:7" x14ac:dyDescent="0.25">
      <c r="C30" s="6"/>
      <c r="D30" s="130" t="s">
        <v>21</v>
      </c>
      <c r="E30" s="6"/>
      <c r="F30" s="18">
        <f>SUM(F26:F29)</f>
        <v>7173</v>
      </c>
      <c r="G30" s="19">
        <f>SUM(G26:G29)</f>
        <v>8471</v>
      </c>
    </row>
    <row r="31" spans="3:7" x14ac:dyDescent="0.25">
      <c r="C31" s="6"/>
      <c r="D31" s="130" t="s">
        <v>137</v>
      </c>
      <c r="E31" s="6"/>
      <c r="F31" s="16">
        <v>11413</v>
      </c>
      <c r="G31" s="17">
        <v>10957</v>
      </c>
    </row>
    <row r="32" spans="3:7" ht="17.25" x14ac:dyDescent="0.4">
      <c r="C32" s="6"/>
      <c r="D32" s="130" t="s">
        <v>100</v>
      </c>
      <c r="E32" s="6"/>
      <c r="F32" s="20">
        <v>18586</v>
      </c>
      <c r="G32" s="21">
        <v>19428</v>
      </c>
    </row>
    <row r="33" spans="3:7" x14ac:dyDescent="0.25">
      <c r="C33" s="6"/>
      <c r="D33" s="6"/>
      <c r="E33" s="6"/>
      <c r="F33" s="6"/>
      <c r="G33" s="33"/>
    </row>
    <row r="34" spans="3:7" x14ac:dyDescent="0.25">
      <c r="C34" s="6"/>
      <c r="D34" s="34" t="s">
        <v>95</v>
      </c>
      <c r="E34" s="6"/>
      <c r="F34" s="6"/>
      <c r="G34" s="33"/>
    </row>
    <row r="35" spans="3:7" x14ac:dyDescent="0.25">
      <c r="C35" s="6"/>
      <c r="D35" s="34"/>
      <c r="E35" s="8" t="s">
        <v>94</v>
      </c>
      <c r="F35" s="6"/>
      <c r="G35" s="25"/>
    </row>
    <row r="36" spans="3:7" x14ac:dyDescent="0.25">
      <c r="C36" s="6"/>
      <c r="D36" s="62"/>
      <c r="E36" s="63">
        <v>2013</v>
      </c>
      <c r="F36" s="64">
        <v>2014</v>
      </c>
      <c r="G36" s="65">
        <v>2015</v>
      </c>
    </row>
    <row r="37" spans="3:7" x14ac:dyDescent="0.25">
      <c r="C37" s="6"/>
      <c r="D37" s="66" t="s">
        <v>52</v>
      </c>
      <c r="E37" s="62"/>
      <c r="F37" s="62"/>
      <c r="G37" s="67"/>
    </row>
    <row r="38" spans="3:7" x14ac:dyDescent="0.25">
      <c r="C38" s="6"/>
      <c r="D38" s="68" t="s">
        <v>96</v>
      </c>
      <c r="E38" s="69">
        <v>214.9</v>
      </c>
      <c r="F38" s="69">
        <v>293</v>
      </c>
      <c r="G38" s="70">
        <v>325</v>
      </c>
    </row>
    <row r="39" spans="3:7" x14ac:dyDescent="0.25">
      <c r="C39" s="6"/>
      <c r="D39" s="68" t="s">
        <v>138</v>
      </c>
      <c r="E39" s="71">
        <v>323</v>
      </c>
      <c r="F39" s="71">
        <v>355</v>
      </c>
      <c r="G39" s="72">
        <v>457</v>
      </c>
    </row>
    <row r="40" spans="3:7" x14ac:dyDescent="0.25">
      <c r="C40" s="6"/>
      <c r="D40" s="62"/>
      <c r="E40" s="62"/>
      <c r="F40" s="62"/>
      <c r="G40" s="67"/>
    </row>
    <row r="41" spans="3:7" x14ac:dyDescent="0.25">
      <c r="C41" s="6"/>
      <c r="D41" s="68" t="s">
        <v>139</v>
      </c>
      <c r="E41" s="73">
        <v>3368</v>
      </c>
      <c r="F41" s="73">
        <v>3899</v>
      </c>
      <c r="G41" s="74">
        <v>3145</v>
      </c>
    </row>
    <row r="42" spans="3:7" x14ac:dyDescent="0.25">
      <c r="C42" s="6"/>
      <c r="D42" s="68" t="s">
        <v>99</v>
      </c>
      <c r="E42" s="73">
        <v>653</v>
      </c>
      <c r="F42" s="73">
        <f>F41-E41</f>
        <v>531</v>
      </c>
      <c r="G42" s="74">
        <f>G41-F41</f>
        <v>-754</v>
      </c>
    </row>
    <row r="44" spans="3:7" x14ac:dyDescent="0.25">
      <c r="D44" s="131" t="s">
        <v>101</v>
      </c>
    </row>
  </sheetData>
  <mergeCells count="3">
    <mergeCell ref="D2:G2"/>
    <mergeCell ref="D3:G3"/>
    <mergeCell ref="D4:G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6"/>
  <sheetViews>
    <sheetView showGridLines="0" workbookViewId="0"/>
  </sheetViews>
  <sheetFormatPr defaultRowHeight="15" x14ac:dyDescent="0.25"/>
  <cols>
    <col min="7" max="7" width="11.140625" bestFit="1" customWidth="1"/>
    <col min="8" max="8" width="12.140625" bestFit="1" customWidth="1"/>
    <col min="9" max="9" width="11.140625" bestFit="1" customWidth="1"/>
    <col min="10" max="10" width="8.7109375" customWidth="1"/>
  </cols>
  <sheetData>
    <row r="2" spans="3:11" x14ac:dyDescent="0.25">
      <c r="C2" s="139" t="s">
        <v>82</v>
      </c>
      <c r="D2" s="139"/>
      <c r="E2" s="139"/>
      <c r="F2" s="139"/>
      <c r="G2" s="139"/>
      <c r="H2" s="139"/>
      <c r="I2" s="139"/>
      <c r="J2" s="139"/>
    </row>
    <row r="3" spans="3:11" x14ac:dyDescent="0.25">
      <c r="C3" s="139" t="s">
        <v>78</v>
      </c>
      <c r="D3" s="139"/>
      <c r="E3" s="139"/>
      <c r="F3" s="139"/>
      <c r="G3" s="139"/>
      <c r="H3" s="139"/>
      <c r="I3" s="139"/>
      <c r="J3" s="139"/>
    </row>
    <row r="4" spans="3:11" x14ac:dyDescent="0.25">
      <c r="C4" s="140" t="s">
        <v>80</v>
      </c>
      <c r="D4" s="140"/>
      <c r="E4" s="140"/>
      <c r="F4" s="140"/>
      <c r="G4" s="140"/>
      <c r="H4" s="140"/>
      <c r="I4" s="140"/>
      <c r="J4" s="140"/>
    </row>
    <row r="5" spans="3:11" x14ac:dyDescent="0.25">
      <c r="C5" s="86"/>
      <c r="D5" s="86"/>
      <c r="E5" s="86"/>
      <c r="F5" s="86"/>
      <c r="G5" s="86"/>
      <c r="H5" s="86"/>
      <c r="I5" s="86"/>
      <c r="J5" s="86"/>
    </row>
    <row r="6" spans="3:11" x14ac:dyDescent="0.25">
      <c r="G6" s="83" t="s">
        <v>74</v>
      </c>
      <c r="H6" s="83" t="s">
        <v>75</v>
      </c>
      <c r="I6" s="83" t="s">
        <v>76</v>
      </c>
      <c r="J6" s="81" t="s">
        <v>79</v>
      </c>
      <c r="K6" s="81"/>
    </row>
    <row r="7" spans="3:11" x14ac:dyDescent="0.25">
      <c r="C7" t="s">
        <v>57</v>
      </c>
      <c r="G7" s="82">
        <v>1287</v>
      </c>
      <c r="H7" s="82">
        <v>14106</v>
      </c>
      <c r="I7" s="82">
        <f>H7-G7</f>
        <v>12819</v>
      </c>
      <c r="J7" s="79">
        <f>I7/I$23</f>
        <v>0.20538661197808183</v>
      </c>
    </row>
    <row r="8" spans="3:11" x14ac:dyDescent="0.25">
      <c r="C8" t="s">
        <v>58</v>
      </c>
      <c r="G8" s="84">
        <v>1299</v>
      </c>
      <c r="H8" s="84">
        <v>16888</v>
      </c>
      <c r="I8" s="84">
        <f t="shared" ref="I8:I22" si="0">H8-G8</f>
        <v>15589</v>
      </c>
      <c r="J8" s="79">
        <f t="shared" ref="J8:J23" si="1">I8/I$23</f>
        <v>0.24976768032813151</v>
      </c>
    </row>
    <row r="9" spans="3:11" x14ac:dyDescent="0.25">
      <c r="C9" t="s">
        <v>59</v>
      </c>
      <c r="G9" s="84">
        <v>843</v>
      </c>
      <c r="H9" s="84">
        <v>1402</v>
      </c>
      <c r="I9" s="84">
        <f t="shared" si="0"/>
        <v>559</v>
      </c>
      <c r="J9" s="79">
        <f t="shared" si="1"/>
        <v>8.9563239016887241E-3</v>
      </c>
    </row>
    <row r="10" spans="3:11" x14ac:dyDescent="0.25">
      <c r="C10" t="s">
        <v>60</v>
      </c>
      <c r="G10" s="84">
        <v>1253</v>
      </c>
      <c r="H10" s="84">
        <v>1365</v>
      </c>
      <c r="I10" s="84">
        <f t="shared" si="0"/>
        <v>112</v>
      </c>
      <c r="J10" s="79">
        <f t="shared" si="1"/>
        <v>1.7944691896048964E-3</v>
      </c>
    </row>
    <row r="11" spans="3:11" x14ac:dyDescent="0.25">
      <c r="C11" t="s">
        <v>61</v>
      </c>
      <c r="G11" s="84">
        <v>1454</v>
      </c>
      <c r="H11" s="84">
        <v>2134</v>
      </c>
      <c r="I11" s="84">
        <f t="shared" si="0"/>
        <v>680</v>
      </c>
      <c r="J11" s="79">
        <f t="shared" si="1"/>
        <v>1.0894991508315442E-2</v>
      </c>
    </row>
    <row r="12" spans="3:11" x14ac:dyDescent="0.25">
      <c r="C12" t="s">
        <v>62</v>
      </c>
      <c r="G12" s="84">
        <v>750</v>
      </c>
      <c r="H12" s="84">
        <v>2532</v>
      </c>
      <c r="I12" s="84">
        <f t="shared" si="0"/>
        <v>1782</v>
      </c>
      <c r="J12" s="79">
        <f t="shared" si="1"/>
        <v>2.8551286570320761E-2</v>
      </c>
    </row>
    <row r="13" spans="3:11" x14ac:dyDescent="0.25">
      <c r="C13" t="s">
        <v>63</v>
      </c>
      <c r="G13" s="84">
        <v>13157</v>
      </c>
      <c r="H13" s="84">
        <v>12349</v>
      </c>
      <c r="I13" s="84">
        <f t="shared" si="0"/>
        <v>-808</v>
      </c>
      <c r="J13" s="79">
        <f t="shared" si="1"/>
        <v>-1.2945813439292466E-2</v>
      </c>
    </row>
    <row r="14" spans="3:11" x14ac:dyDescent="0.25">
      <c r="C14" t="s">
        <v>64</v>
      </c>
      <c r="G14" s="84">
        <v>248</v>
      </c>
      <c r="H14" s="84">
        <v>2364</v>
      </c>
      <c r="I14" s="84">
        <f t="shared" si="0"/>
        <v>2116</v>
      </c>
      <c r="J14" s="79">
        <f t="shared" si="1"/>
        <v>3.3902650046463936E-2</v>
      </c>
    </row>
    <row r="15" spans="3:11" x14ac:dyDescent="0.25">
      <c r="C15" t="s">
        <v>65</v>
      </c>
      <c r="G15" s="84">
        <v>2990</v>
      </c>
      <c r="H15" s="84">
        <v>4023</v>
      </c>
      <c r="I15" s="84">
        <f t="shared" si="0"/>
        <v>1033</v>
      </c>
      <c r="J15" s="79">
        <f t="shared" si="1"/>
        <v>1.6550773864838018E-2</v>
      </c>
    </row>
    <row r="16" spans="3:11" x14ac:dyDescent="0.25">
      <c r="C16" t="s">
        <v>66</v>
      </c>
      <c r="G16" s="84">
        <v>336</v>
      </c>
      <c r="H16" s="84">
        <v>4683</v>
      </c>
      <c r="I16" s="84">
        <f t="shared" si="0"/>
        <v>4347</v>
      </c>
      <c r="J16" s="79">
        <f t="shared" si="1"/>
        <v>6.9647835421540044E-2</v>
      </c>
    </row>
    <row r="17" spans="3:10" x14ac:dyDescent="0.25">
      <c r="C17" t="s">
        <v>67</v>
      </c>
      <c r="G17" s="84">
        <v>1721</v>
      </c>
      <c r="H17" s="84">
        <v>2032</v>
      </c>
      <c r="I17" s="84">
        <f t="shared" si="0"/>
        <v>311</v>
      </c>
      <c r="J17" s="79">
        <f t="shared" si="1"/>
        <v>4.982856410420739E-3</v>
      </c>
    </row>
    <row r="18" spans="3:10" x14ac:dyDescent="0.25">
      <c r="C18" t="s">
        <v>68</v>
      </c>
      <c r="G18" s="84">
        <v>3033</v>
      </c>
      <c r="H18" s="84">
        <v>4355</v>
      </c>
      <c r="I18" s="84">
        <f t="shared" si="0"/>
        <v>1322</v>
      </c>
      <c r="J18" s="79">
        <f t="shared" si="1"/>
        <v>2.1181145255872079E-2</v>
      </c>
    </row>
    <row r="19" spans="3:10" x14ac:dyDescent="0.25">
      <c r="C19" t="s">
        <v>69</v>
      </c>
      <c r="G19" s="84">
        <v>836</v>
      </c>
      <c r="H19" s="84">
        <v>1214</v>
      </c>
      <c r="I19" s="84">
        <f t="shared" si="0"/>
        <v>378</v>
      </c>
      <c r="J19" s="79">
        <f t="shared" si="1"/>
        <v>6.0563335149165249E-3</v>
      </c>
    </row>
    <row r="20" spans="3:10" x14ac:dyDescent="0.25">
      <c r="C20" t="s">
        <v>70</v>
      </c>
      <c r="G20" s="84">
        <v>3798</v>
      </c>
      <c r="H20" s="84">
        <v>5815</v>
      </c>
      <c r="I20" s="84">
        <f t="shared" si="0"/>
        <v>2017</v>
      </c>
      <c r="J20" s="79">
        <f t="shared" si="1"/>
        <v>3.231646745922389E-2</v>
      </c>
    </row>
    <row r="21" spans="3:10" x14ac:dyDescent="0.25">
      <c r="C21" t="s">
        <v>71</v>
      </c>
      <c r="G21" s="84">
        <v>11871</v>
      </c>
      <c r="H21" s="84">
        <v>26504</v>
      </c>
      <c r="I21" s="84">
        <f t="shared" si="0"/>
        <v>14633</v>
      </c>
      <c r="J21" s="79">
        <f t="shared" si="1"/>
        <v>0.23445060403114687</v>
      </c>
    </row>
    <row r="22" spans="3:10" x14ac:dyDescent="0.25">
      <c r="C22" t="s">
        <v>72</v>
      </c>
      <c r="G22" s="85">
        <v>10180</v>
      </c>
      <c r="H22" s="85">
        <v>15704</v>
      </c>
      <c r="I22" s="85">
        <f t="shared" si="0"/>
        <v>5524</v>
      </c>
      <c r="J22" s="80">
        <f t="shared" si="1"/>
        <v>8.8505783958727213E-2</v>
      </c>
    </row>
    <row r="23" spans="3:10" x14ac:dyDescent="0.25">
      <c r="C23" t="s">
        <v>73</v>
      </c>
      <c r="G23" s="82">
        <f>SUM(G7:G22)</f>
        <v>55056</v>
      </c>
      <c r="H23" s="82">
        <f>SUM(H7:H22)</f>
        <v>117470</v>
      </c>
      <c r="I23" s="82">
        <f>SUM(I7:I22)</f>
        <v>62414</v>
      </c>
      <c r="J23" s="79">
        <f t="shared" si="1"/>
        <v>1</v>
      </c>
    </row>
    <row r="24" spans="3:10" x14ac:dyDescent="0.25">
      <c r="C24" t="s">
        <v>77</v>
      </c>
      <c r="I24" s="79">
        <f>(H23/G23)-1</f>
        <v>1.1336457425167104</v>
      </c>
    </row>
    <row r="26" spans="3:10" x14ac:dyDescent="0.25">
      <c r="C26" t="s">
        <v>102</v>
      </c>
    </row>
  </sheetData>
  <mergeCells count="3">
    <mergeCell ref="C2:J2"/>
    <mergeCell ref="C3:J3"/>
    <mergeCell ref="C4:J4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32"/>
  <sheetViews>
    <sheetView showGridLines="0" zoomScaleNormal="100" workbookViewId="0"/>
  </sheetViews>
  <sheetFormatPr defaultRowHeight="15" x14ac:dyDescent="0.25"/>
  <cols>
    <col min="4" max="4" width="37.28515625" bestFit="1" customWidth="1"/>
    <col min="5" max="6" width="13.85546875" customWidth="1"/>
    <col min="7" max="7" width="21.140625" customWidth="1"/>
    <col min="12" max="12" width="11.7109375" customWidth="1"/>
  </cols>
  <sheetData>
    <row r="2" spans="3:12" x14ac:dyDescent="0.25">
      <c r="C2" s="139" t="s">
        <v>87</v>
      </c>
      <c r="D2" s="139"/>
      <c r="E2" s="139"/>
      <c r="F2" s="139"/>
      <c r="G2" s="139"/>
      <c r="H2" s="139"/>
      <c r="I2" s="139"/>
      <c r="J2" s="139"/>
      <c r="K2" s="139"/>
      <c r="L2" s="139"/>
    </row>
    <row r="3" spans="3:12" x14ac:dyDescent="0.25">
      <c r="C3" s="139" t="s">
        <v>83</v>
      </c>
      <c r="D3" s="139"/>
      <c r="E3" s="139"/>
      <c r="F3" s="139"/>
      <c r="G3" s="139"/>
      <c r="H3" s="139"/>
      <c r="I3" s="139"/>
      <c r="J3" s="139"/>
      <c r="K3" s="139"/>
      <c r="L3" s="139"/>
    </row>
    <row r="5" spans="3:12" x14ac:dyDescent="0.25">
      <c r="C5" s="42" t="s">
        <v>1</v>
      </c>
    </row>
    <row r="6" spans="3:12" x14ac:dyDescent="0.25">
      <c r="D6" s="46" t="s">
        <v>31</v>
      </c>
      <c r="E6" s="54" t="s">
        <v>42</v>
      </c>
      <c r="F6" s="54" t="s">
        <v>43</v>
      </c>
      <c r="G6" s="46" t="s">
        <v>32</v>
      </c>
    </row>
    <row r="7" spans="3:12" x14ac:dyDescent="0.25">
      <c r="D7" t="s">
        <v>104</v>
      </c>
      <c r="E7" s="3">
        <v>9.9000000000000005E-2</v>
      </c>
      <c r="F7" s="3">
        <v>9.9000000000000005E-2</v>
      </c>
      <c r="G7" t="s">
        <v>81</v>
      </c>
    </row>
    <row r="8" spans="3:12" x14ac:dyDescent="0.25">
      <c r="D8" t="s">
        <v>105</v>
      </c>
      <c r="E8" s="2">
        <v>2.8899999999999999E-2</v>
      </c>
      <c r="F8" s="2">
        <v>2.8899999999999999E-2</v>
      </c>
      <c r="G8" t="s">
        <v>51</v>
      </c>
    </row>
    <row r="9" spans="3:12" x14ac:dyDescent="0.25">
      <c r="D9" t="s">
        <v>106</v>
      </c>
      <c r="E9" s="1">
        <f>E7-E8</f>
        <v>7.010000000000001E-2</v>
      </c>
      <c r="F9" s="1">
        <f>F7-F8</f>
        <v>7.010000000000001E-2</v>
      </c>
    </row>
    <row r="10" spans="3:12" x14ac:dyDescent="0.25">
      <c r="D10" t="s">
        <v>0</v>
      </c>
      <c r="E10" s="4">
        <v>0.38</v>
      </c>
      <c r="F10" s="55">
        <v>0.9</v>
      </c>
      <c r="G10" t="s">
        <v>51</v>
      </c>
    </row>
    <row r="11" spans="3:12" x14ac:dyDescent="0.25">
      <c r="D11" t="s">
        <v>107</v>
      </c>
      <c r="E11" s="3">
        <f>E9*E10+E8</f>
        <v>5.5538000000000004E-2</v>
      </c>
      <c r="F11" s="3">
        <f>F9*F10+F8</f>
        <v>9.1990000000000002E-2</v>
      </c>
    </row>
    <row r="13" spans="3:12" x14ac:dyDescent="0.25">
      <c r="C13" s="42" t="s">
        <v>112</v>
      </c>
    </row>
    <row r="15" spans="3:12" x14ac:dyDescent="0.25">
      <c r="D15" s="46" t="s">
        <v>31</v>
      </c>
      <c r="E15" s="54" t="s">
        <v>42</v>
      </c>
      <c r="F15" s="54" t="s">
        <v>43</v>
      </c>
      <c r="G15" s="46" t="s">
        <v>32</v>
      </c>
    </row>
    <row r="16" spans="3:12" x14ac:dyDescent="0.25">
      <c r="D16" t="s">
        <v>108</v>
      </c>
      <c r="E16" s="1">
        <v>3.95E-2</v>
      </c>
      <c r="F16" s="1">
        <v>3.95E-2</v>
      </c>
      <c r="G16" s="51" t="s">
        <v>51</v>
      </c>
    </row>
    <row r="17" spans="3:7" x14ac:dyDescent="0.25">
      <c r="D17" t="s">
        <v>109</v>
      </c>
      <c r="E17" s="43">
        <v>4900</v>
      </c>
      <c r="F17" s="43">
        <v>71930</v>
      </c>
      <c r="G17" s="51" t="s">
        <v>49</v>
      </c>
    </row>
    <row r="18" spans="3:7" x14ac:dyDescent="0.25">
      <c r="D18" t="s">
        <v>110</v>
      </c>
      <c r="E18" s="44">
        <v>31208</v>
      </c>
      <c r="F18" s="44">
        <v>353720.81964352354</v>
      </c>
      <c r="G18" s="51" t="s">
        <v>51</v>
      </c>
    </row>
    <row r="19" spans="3:7" x14ac:dyDescent="0.25">
      <c r="G19" s="51"/>
    </row>
    <row r="20" spans="3:7" x14ac:dyDescent="0.25">
      <c r="D20" t="s">
        <v>33</v>
      </c>
      <c r="E20" s="45">
        <f>E17/(E17+E18)</f>
        <v>0.13570399911376979</v>
      </c>
      <c r="F20" s="45">
        <f>F17/(F17+F18)</f>
        <v>0.16898828025337845</v>
      </c>
      <c r="G20" s="51" t="s">
        <v>40</v>
      </c>
    </row>
    <row r="21" spans="3:7" x14ac:dyDescent="0.25">
      <c r="D21" t="s">
        <v>34</v>
      </c>
      <c r="E21" s="45">
        <f>1-E20</f>
        <v>0.86429600088623015</v>
      </c>
      <c r="F21" s="45">
        <f>F18/(F17+F18)</f>
        <v>0.83101171974662158</v>
      </c>
      <c r="G21" s="51" t="s">
        <v>40</v>
      </c>
    </row>
    <row r="22" spans="3:7" x14ac:dyDescent="0.25">
      <c r="G22" s="51"/>
    </row>
    <row r="23" spans="3:7" x14ac:dyDescent="0.25">
      <c r="D23" s="48" t="s">
        <v>1</v>
      </c>
      <c r="E23" s="57">
        <f>'Exh TN4 WACC'!E11</f>
        <v>5.5538000000000004E-2</v>
      </c>
      <c r="F23" s="57">
        <f>'Exh TN4 WACC'!F11</f>
        <v>9.1990000000000002E-2</v>
      </c>
      <c r="G23" s="52" t="s">
        <v>40</v>
      </c>
    </row>
    <row r="24" spans="3:7" x14ac:dyDescent="0.25">
      <c r="E24" s="1"/>
      <c r="F24" s="1"/>
      <c r="G24" s="51"/>
    </row>
    <row r="25" spans="3:7" x14ac:dyDescent="0.25">
      <c r="D25" t="s">
        <v>36</v>
      </c>
      <c r="E25" s="1">
        <f>E16</f>
        <v>3.95E-2</v>
      </c>
      <c r="F25" s="1">
        <f>F16</f>
        <v>3.95E-2</v>
      </c>
      <c r="G25" s="51" t="s">
        <v>35</v>
      </c>
    </row>
    <row r="26" spans="3:7" x14ac:dyDescent="0.25">
      <c r="D26" t="s">
        <v>111</v>
      </c>
      <c r="E26" s="47">
        <v>0.39</v>
      </c>
      <c r="F26" s="47">
        <v>0.39</v>
      </c>
      <c r="G26" s="51" t="s">
        <v>51</v>
      </c>
    </row>
    <row r="27" spans="3:7" x14ac:dyDescent="0.25">
      <c r="D27" t="s">
        <v>37</v>
      </c>
      <c r="E27" s="45">
        <f>(1-E26)*E25</f>
        <v>2.4094999999999998E-2</v>
      </c>
      <c r="F27" s="45">
        <f>(1-F26)*F25</f>
        <v>2.4094999999999998E-2</v>
      </c>
      <c r="G27" s="51" t="s">
        <v>40</v>
      </c>
    </row>
    <row r="28" spans="3:7" x14ac:dyDescent="0.25">
      <c r="G28" s="51"/>
    </row>
    <row r="29" spans="3:7" x14ac:dyDescent="0.25">
      <c r="D29" s="48" t="s">
        <v>38</v>
      </c>
      <c r="E29" s="49">
        <f>E23*E21+E27*E20</f>
        <v>5.1271059155865738E-2</v>
      </c>
      <c r="F29" s="49">
        <f>F23*F21+F27*F20</f>
        <v>8.0516540712196868E-2</v>
      </c>
      <c r="G29" s="52" t="s">
        <v>40</v>
      </c>
    </row>
    <row r="31" spans="3:7" x14ac:dyDescent="0.25">
      <c r="D31" s="41"/>
    </row>
    <row r="32" spans="3:7" x14ac:dyDescent="0.25">
      <c r="C32" s="141" t="s">
        <v>103</v>
      </c>
      <c r="D32" s="141"/>
    </row>
  </sheetData>
  <mergeCells count="3">
    <mergeCell ref="C3:L3"/>
    <mergeCell ref="C2:L2"/>
    <mergeCell ref="C32:D32"/>
  </mergeCells>
  <pageMargins left="0.7" right="0.7" top="0.75" bottom="0.75" header="0.3" footer="0.3"/>
  <pageSetup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90"/>
  <sheetViews>
    <sheetView showGridLines="0" zoomScale="110" zoomScaleNormal="110" zoomScaleSheetLayoutView="120" workbookViewId="0"/>
  </sheetViews>
  <sheetFormatPr defaultColWidth="9.140625" defaultRowHeight="15" outlineLevelRow="1" x14ac:dyDescent="0.25"/>
  <cols>
    <col min="1" max="1" width="2.85546875" style="6" customWidth="1"/>
    <col min="2" max="2" width="40.42578125" style="6" customWidth="1"/>
    <col min="3" max="4" width="11.28515625" style="6" customWidth="1"/>
    <col min="5" max="5" width="17.7109375" style="6" customWidth="1"/>
    <col min="6" max="7" width="12.42578125" style="6" customWidth="1"/>
    <col min="8" max="8" width="13.85546875" style="6" bestFit="1" customWidth="1"/>
    <col min="9" max="9" width="9.7109375" style="6" customWidth="1"/>
    <col min="10" max="10" width="13.5703125" style="6" customWidth="1"/>
    <col min="11" max="16384" width="9.140625" style="6"/>
  </cols>
  <sheetData>
    <row r="2" spans="1:8" x14ac:dyDescent="0.25">
      <c r="A2" s="5" t="s">
        <v>2</v>
      </c>
    </row>
    <row r="3" spans="1:8" ht="24" x14ac:dyDescent="0.25">
      <c r="B3" s="7" t="s">
        <v>93</v>
      </c>
      <c r="C3" s="8" t="s">
        <v>94</v>
      </c>
    </row>
    <row r="4" spans="1:8" x14ac:dyDescent="0.25">
      <c r="C4" s="9">
        <v>2013</v>
      </c>
      <c r="D4" s="9">
        <v>2014</v>
      </c>
      <c r="E4" s="10">
        <v>2015</v>
      </c>
      <c r="F4" s="11"/>
    </row>
    <row r="5" spans="1:8" x14ac:dyDescent="0.25">
      <c r="B5" s="12" t="s">
        <v>3</v>
      </c>
      <c r="C5" s="13">
        <v>8347</v>
      </c>
      <c r="D5" s="13">
        <v>9533</v>
      </c>
      <c r="E5" s="14">
        <v>10005</v>
      </c>
    </row>
    <row r="6" spans="1:8" ht="17.25" x14ac:dyDescent="0.25">
      <c r="B6" s="15" t="s">
        <v>4</v>
      </c>
      <c r="C6" s="16">
        <v>6188</v>
      </c>
      <c r="D6" s="16">
        <v>6874</v>
      </c>
      <c r="E6" s="17">
        <v>7393</v>
      </c>
    </row>
    <row r="7" spans="1:8" outlineLevel="1" x14ac:dyDescent="0.25">
      <c r="B7" s="12" t="s">
        <v>5</v>
      </c>
      <c r="C7" s="18">
        <f>C5-C6</f>
        <v>2159</v>
      </c>
      <c r="D7" s="18">
        <f>D5-D6</f>
        <v>2659</v>
      </c>
      <c r="E7" s="19">
        <f>E5-E6</f>
        <v>2612</v>
      </c>
    </row>
    <row r="8" spans="1:8" x14ac:dyDescent="0.25">
      <c r="B8" s="15" t="s">
        <v>6</v>
      </c>
      <c r="C8" s="16">
        <v>31</v>
      </c>
      <c r="D8" s="16">
        <v>71</v>
      </c>
      <c r="E8" s="17">
        <v>65</v>
      </c>
    </row>
    <row r="9" spans="1:8" x14ac:dyDescent="0.25">
      <c r="B9" s="12" t="s">
        <v>7</v>
      </c>
      <c r="C9" s="18">
        <f>C7-C8</f>
        <v>2128</v>
      </c>
      <c r="D9" s="18">
        <f>D7-D8</f>
        <v>2588</v>
      </c>
      <c r="E9" s="19">
        <f>E7-E8</f>
        <v>2547</v>
      </c>
    </row>
    <row r="10" spans="1:8" x14ac:dyDescent="0.25">
      <c r="B10" s="15" t="s">
        <v>8</v>
      </c>
      <c r="C10" s="16">
        <v>695</v>
      </c>
      <c r="D10" s="16">
        <v>830</v>
      </c>
      <c r="E10" s="17">
        <v>816</v>
      </c>
    </row>
    <row r="11" spans="1:8" ht="32.25" x14ac:dyDescent="0.4">
      <c r="B11" s="12" t="s">
        <v>9</v>
      </c>
      <c r="C11" s="20">
        <v>1433</v>
      </c>
      <c r="D11" s="20">
        <v>1758</v>
      </c>
      <c r="E11" s="21">
        <v>1731</v>
      </c>
    </row>
    <row r="12" spans="1:8" x14ac:dyDescent="0.25">
      <c r="B12" s="12"/>
      <c r="C12" s="22"/>
      <c r="D12" s="22"/>
      <c r="E12" s="23"/>
    </row>
    <row r="13" spans="1:8" x14ac:dyDescent="0.25">
      <c r="A13" s="5" t="s">
        <v>10</v>
      </c>
      <c r="C13" s="8" t="s">
        <v>94</v>
      </c>
      <c r="E13" s="25"/>
    </row>
    <row r="14" spans="1:8" ht="24" x14ac:dyDescent="0.25">
      <c r="B14" s="7" t="s">
        <v>93</v>
      </c>
      <c r="D14" s="26">
        <v>2014</v>
      </c>
      <c r="E14" s="27">
        <v>2015</v>
      </c>
    </row>
    <row r="15" spans="1:8" x14ac:dyDescent="0.25">
      <c r="B15" s="28" t="s">
        <v>11</v>
      </c>
      <c r="D15" s="29"/>
      <c r="E15" s="30"/>
    </row>
    <row r="16" spans="1:8" x14ac:dyDescent="0.25">
      <c r="B16" s="12" t="s">
        <v>12</v>
      </c>
      <c r="D16" s="13">
        <v>5507</v>
      </c>
      <c r="E16" s="14">
        <v>5972</v>
      </c>
    </row>
    <row r="17" spans="2:10" x14ac:dyDescent="0.25">
      <c r="B17" s="12" t="s">
        <v>13</v>
      </c>
      <c r="D17" s="18">
        <v>2300</v>
      </c>
      <c r="E17" s="19">
        <v>2474</v>
      </c>
    </row>
    <row r="18" spans="2:10" x14ac:dyDescent="0.25">
      <c r="B18" s="12" t="s">
        <v>14</v>
      </c>
      <c r="D18" s="16">
        <v>10779</v>
      </c>
      <c r="E18" s="17">
        <v>10982</v>
      </c>
    </row>
    <row r="19" spans="2:10" x14ac:dyDescent="0.25">
      <c r="B19" s="12" t="s">
        <v>15</v>
      </c>
      <c r="D19" s="31">
        <v>18586</v>
      </c>
      <c r="E19" s="32">
        <v>19428</v>
      </c>
    </row>
    <row r="20" spans="2:10" x14ac:dyDescent="0.25">
      <c r="B20" s="12"/>
      <c r="D20" s="24"/>
      <c r="E20" s="32"/>
    </row>
    <row r="21" spans="2:10" x14ac:dyDescent="0.25">
      <c r="B21" s="28" t="s">
        <v>16</v>
      </c>
      <c r="D21" s="29"/>
      <c r="E21" s="30"/>
    </row>
    <row r="22" spans="2:10" x14ac:dyDescent="0.25">
      <c r="B22" s="12" t="s">
        <v>17</v>
      </c>
      <c r="D22" s="13">
        <v>1608</v>
      </c>
      <c r="E22" s="14">
        <v>2827</v>
      </c>
    </row>
    <row r="23" spans="2:10" x14ac:dyDescent="0.25">
      <c r="B23" s="12" t="s">
        <v>18</v>
      </c>
      <c r="D23" s="18">
        <v>3569</v>
      </c>
      <c r="E23" s="19">
        <v>3493</v>
      </c>
      <c r="H23" s="58"/>
      <c r="I23" s="76" t="s">
        <v>41</v>
      </c>
      <c r="J23" s="75"/>
    </row>
    <row r="24" spans="2:10" x14ac:dyDescent="0.25">
      <c r="B24" s="12" t="s">
        <v>19</v>
      </c>
      <c r="D24" s="18">
        <v>442</v>
      </c>
      <c r="E24" s="19">
        <v>678</v>
      </c>
      <c r="I24" s="53">
        <v>2015</v>
      </c>
    </row>
    <row r="25" spans="2:10" x14ac:dyDescent="0.25">
      <c r="B25" s="12" t="s">
        <v>20</v>
      </c>
      <c r="D25" s="16">
        <v>1554</v>
      </c>
      <c r="E25" s="17">
        <v>1473</v>
      </c>
      <c r="I25" s="87">
        <f>I26/I28</f>
        <v>0.13570399911376979</v>
      </c>
    </row>
    <row r="26" spans="2:10" x14ac:dyDescent="0.25">
      <c r="B26" s="12" t="s">
        <v>21</v>
      </c>
      <c r="D26" s="18">
        <f>SUM(D22:D25)</f>
        <v>7173</v>
      </c>
      <c r="E26" s="19">
        <f>SUM(E22:E25)</f>
        <v>8471</v>
      </c>
      <c r="G26" s="40" t="s">
        <v>45</v>
      </c>
      <c r="I26" s="88">
        <v>4900</v>
      </c>
      <c r="J26" s="40" t="s">
        <v>50</v>
      </c>
    </row>
    <row r="27" spans="2:10" ht="17.25" x14ac:dyDescent="0.4">
      <c r="B27" s="12" t="s">
        <v>22</v>
      </c>
      <c r="D27" s="16">
        <v>11413</v>
      </c>
      <c r="E27" s="17">
        <v>10957</v>
      </c>
      <c r="G27" s="40" t="s">
        <v>44</v>
      </c>
      <c r="I27" s="56">
        <v>31208</v>
      </c>
      <c r="J27" s="40" t="s">
        <v>47</v>
      </c>
    </row>
    <row r="28" spans="2:10" ht="17.25" x14ac:dyDescent="0.4">
      <c r="B28" s="130" t="s">
        <v>100</v>
      </c>
      <c r="D28" s="20">
        <v>18586</v>
      </c>
      <c r="E28" s="21">
        <v>19428</v>
      </c>
      <c r="G28" s="40" t="s">
        <v>46</v>
      </c>
      <c r="I28" s="88">
        <f>SUM(I26:I27)</f>
        <v>36108</v>
      </c>
    </row>
    <row r="29" spans="2:10" ht="9" customHeight="1" x14ac:dyDescent="0.25">
      <c r="E29" s="33"/>
    </row>
    <row r="30" spans="2:10" x14ac:dyDescent="0.25">
      <c r="B30" s="34" t="s">
        <v>95</v>
      </c>
      <c r="E30" s="33"/>
    </row>
    <row r="31" spans="2:10" x14ac:dyDescent="0.25">
      <c r="B31" s="34"/>
      <c r="C31" s="8" t="s">
        <v>94</v>
      </c>
      <c r="E31" s="25"/>
    </row>
    <row r="32" spans="2:10" x14ac:dyDescent="0.25">
      <c r="B32" s="62"/>
      <c r="C32" s="63">
        <v>2013</v>
      </c>
      <c r="D32" s="64">
        <v>2014</v>
      </c>
      <c r="E32" s="65">
        <v>2015</v>
      </c>
    </row>
    <row r="33" spans="1:8" x14ac:dyDescent="0.25">
      <c r="B33" s="66" t="s">
        <v>52</v>
      </c>
      <c r="C33" s="62"/>
      <c r="D33" s="62"/>
      <c r="E33" s="67"/>
    </row>
    <row r="34" spans="1:8" x14ac:dyDescent="0.25">
      <c r="B34" s="68" t="s">
        <v>96</v>
      </c>
      <c r="C34" s="69">
        <v>214.9</v>
      </c>
      <c r="D34" s="69">
        <v>293</v>
      </c>
      <c r="E34" s="70">
        <v>325</v>
      </c>
    </row>
    <row r="35" spans="1:8" ht="17.25" x14ac:dyDescent="0.25">
      <c r="B35" s="68" t="s">
        <v>97</v>
      </c>
      <c r="C35" s="71">
        <v>323</v>
      </c>
      <c r="D35" s="71">
        <v>355</v>
      </c>
      <c r="E35" s="72">
        <v>457</v>
      </c>
    </row>
    <row r="36" spans="1:8" x14ac:dyDescent="0.25">
      <c r="B36" s="62"/>
      <c r="C36" s="62"/>
      <c r="D36" s="62"/>
      <c r="E36" s="67"/>
    </row>
    <row r="37" spans="1:8" ht="17.25" x14ac:dyDescent="0.25">
      <c r="B37" s="68" t="s">
        <v>98</v>
      </c>
      <c r="C37" s="73">
        <v>3368</v>
      </c>
      <c r="D37" s="73">
        <v>3899</v>
      </c>
      <c r="E37" s="74">
        <v>3145</v>
      </c>
      <c r="F37" s="89"/>
      <c r="G37" s="89"/>
    </row>
    <row r="38" spans="1:8" x14ac:dyDescent="0.25">
      <c r="B38" s="68" t="s">
        <v>99</v>
      </c>
      <c r="C38" s="73">
        <v>653</v>
      </c>
      <c r="D38" s="73">
        <f>D37-C37</f>
        <v>531</v>
      </c>
      <c r="E38" s="74">
        <f>E37-D37</f>
        <v>-754</v>
      </c>
    </row>
    <row r="40" spans="1:8" x14ac:dyDescent="0.25">
      <c r="A40" s="5" t="s">
        <v>56</v>
      </c>
    </row>
    <row r="42" spans="1:8" x14ac:dyDescent="0.25">
      <c r="B42" s="35" t="s">
        <v>23</v>
      </c>
      <c r="D42" s="35" t="s">
        <v>32</v>
      </c>
    </row>
    <row r="43" spans="1:8" x14ac:dyDescent="0.25">
      <c r="B43" s="132" t="s">
        <v>113</v>
      </c>
      <c r="C43" s="36">
        <v>2.5000000000000001E-2</v>
      </c>
      <c r="D43" s="40" t="s">
        <v>51</v>
      </c>
    </row>
    <row r="44" spans="1:8" x14ac:dyDescent="0.25">
      <c r="B44" s="37" t="s">
        <v>24</v>
      </c>
      <c r="C44" s="38">
        <v>2.5000000000000001E-2</v>
      </c>
      <c r="D44" s="40" t="s">
        <v>51</v>
      </c>
    </row>
    <row r="45" spans="1:8" x14ac:dyDescent="0.25">
      <c r="B45" s="59" t="s">
        <v>114</v>
      </c>
      <c r="C45" s="38">
        <v>5.0999999999999997E-2</v>
      </c>
      <c r="D45" s="40" t="s">
        <v>82</v>
      </c>
    </row>
    <row r="46" spans="1:8" x14ac:dyDescent="0.25">
      <c r="B46" s="59" t="s">
        <v>114</v>
      </c>
      <c r="C46" s="38">
        <f>'Exh TN4 WACC'!F29</f>
        <v>8.0516540712196868E-2</v>
      </c>
      <c r="D46" s="40" t="s">
        <v>82</v>
      </c>
      <c r="E46" s="39"/>
    </row>
    <row r="47" spans="1:8" x14ac:dyDescent="0.25">
      <c r="A47" s="78"/>
      <c r="B47" s="90" t="s">
        <v>115</v>
      </c>
      <c r="C47" s="91">
        <v>0.05</v>
      </c>
      <c r="D47" s="92" t="s">
        <v>85</v>
      </c>
      <c r="E47" s="93"/>
      <c r="F47" s="78"/>
      <c r="G47" s="78"/>
      <c r="H47" s="78"/>
    </row>
    <row r="48" spans="1:8" x14ac:dyDescent="0.25">
      <c r="A48" s="78"/>
      <c r="B48" s="90" t="s">
        <v>116</v>
      </c>
      <c r="C48" s="91">
        <v>0.255</v>
      </c>
      <c r="D48" s="92" t="s">
        <v>84</v>
      </c>
      <c r="E48" s="93"/>
      <c r="F48" s="78"/>
      <c r="G48" s="78"/>
      <c r="H48" s="78"/>
    </row>
    <row r="49" spans="1:10" x14ac:dyDescent="0.25">
      <c r="A49" s="78"/>
      <c r="B49" s="90" t="s">
        <v>117</v>
      </c>
      <c r="C49" s="91">
        <v>0.39</v>
      </c>
      <c r="D49" s="92" t="s">
        <v>51</v>
      </c>
      <c r="E49" s="93"/>
      <c r="F49" s="78"/>
      <c r="G49" s="78"/>
      <c r="H49" s="78"/>
    </row>
    <row r="50" spans="1:10" x14ac:dyDescent="0.25">
      <c r="A50" s="78"/>
      <c r="B50" s="90" t="s">
        <v>53</v>
      </c>
      <c r="C50" s="94">
        <v>3.2500000000000001E-2</v>
      </c>
      <c r="D50" s="92" t="s">
        <v>86</v>
      </c>
      <c r="E50" s="93"/>
      <c r="F50" s="78"/>
      <c r="G50" s="78"/>
      <c r="H50" s="78"/>
    </row>
    <row r="51" spans="1:10" x14ac:dyDescent="0.25">
      <c r="A51" s="78"/>
      <c r="B51" s="90" t="s">
        <v>54</v>
      </c>
      <c r="C51" s="94">
        <v>4.5699999999999998E-2</v>
      </c>
      <c r="D51" s="92" t="s">
        <v>86</v>
      </c>
      <c r="E51" s="95"/>
      <c r="F51" s="78"/>
      <c r="G51" s="78"/>
      <c r="H51" s="78"/>
      <c r="I51" s="78"/>
      <c r="J51" s="78"/>
    </row>
    <row r="52" spans="1:10" x14ac:dyDescent="0.25">
      <c r="A52" s="78"/>
      <c r="B52" s="96" t="s">
        <v>55</v>
      </c>
      <c r="C52" s="97">
        <v>0.314</v>
      </c>
      <c r="D52" s="92" t="s">
        <v>86</v>
      </c>
      <c r="E52" s="93"/>
      <c r="F52" s="78"/>
      <c r="G52" s="78"/>
      <c r="H52" s="78"/>
    </row>
    <row r="53" spans="1:10" x14ac:dyDescent="0.25">
      <c r="A53" s="78"/>
      <c r="B53" s="98"/>
      <c r="C53" s="99"/>
      <c r="D53" s="92"/>
      <c r="E53" s="93"/>
      <c r="F53" s="78"/>
      <c r="G53" s="78"/>
      <c r="H53" s="78"/>
    </row>
    <row r="54" spans="1:10" ht="23.1" customHeight="1" x14ac:dyDescent="0.25">
      <c r="A54" s="78"/>
      <c r="B54" s="78"/>
      <c r="C54" s="100" t="s">
        <v>94</v>
      </c>
      <c r="D54" s="101"/>
      <c r="E54" s="102"/>
      <c r="F54" s="101"/>
      <c r="G54" s="101"/>
      <c r="H54" s="101"/>
    </row>
    <row r="55" spans="1:10" x14ac:dyDescent="0.25">
      <c r="A55" s="78"/>
      <c r="B55" s="78"/>
      <c r="C55" s="103">
        <v>2013</v>
      </c>
      <c r="D55" s="103">
        <v>2014</v>
      </c>
      <c r="E55" s="104">
        <v>2015</v>
      </c>
      <c r="F55" s="103" t="s">
        <v>25</v>
      </c>
      <c r="G55" s="103" t="s">
        <v>26</v>
      </c>
      <c r="H55" s="103" t="s">
        <v>27</v>
      </c>
    </row>
    <row r="56" spans="1:10" x14ac:dyDescent="0.25">
      <c r="A56" s="78"/>
      <c r="B56" s="105" t="s">
        <v>3</v>
      </c>
      <c r="C56" s="106">
        <f>C5</f>
        <v>8347</v>
      </c>
      <c r="D56" s="106">
        <f>D5</f>
        <v>9533</v>
      </c>
      <c r="E56" s="107">
        <f>E5</f>
        <v>10005</v>
      </c>
      <c r="F56" s="106">
        <f>E56*(1+$C$47)</f>
        <v>10505.25</v>
      </c>
      <c r="G56" s="106">
        <f>F56*(1+$C$47)</f>
        <v>11030.512500000001</v>
      </c>
      <c r="H56" s="106">
        <f>G56*(1+$C$47)</f>
        <v>11582.038125000001</v>
      </c>
    </row>
    <row r="57" spans="1:10" x14ac:dyDescent="0.25">
      <c r="A57" s="78"/>
      <c r="B57" s="92" t="s">
        <v>134</v>
      </c>
      <c r="C57" s="106">
        <f>C6</f>
        <v>6188</v>
      </c>
      <c r="D57" s="106">
        <f t="shared" ref="D57:E57" si="0">D6</f>
        <v>6874</v>
      </c>
      <c r="E57" s="107">
        <f t="shared" si="0"/>
        <v>7393</v>
      </c>
      <c r="F57" s="106">
        <f>F56-F59</f>
        <v>7826.4112500000001</v>
      </c>
      <c r="G57" s="106">
        <f t="shared" ref="G57:H57" si="1">G56-G59</f>
        <v>8217.7318125000002</v>
      </c>
      <c r="H57" s="106">
        <f t="shared" si="1"/>
        <v>8628.6184031250014</v>
      </c>
    </row>
    <row r="58" spans="1:10" x14ac:dyDescent="0.25">
      <c r="A58" s="78"/>
      <c r="B58" s="78"/>
      <c r="C58" s="78"/>
      <c r="D58" s="78"/>
      <c r="E58" s="109"/>
      <c r="F58" s="78"/>
      <c r="G58" s="78"/>
      <c r="H58" s="78"/>
    </row>
    <row r="59" spans="1:10" x14ac:dyDescent="0.25">
      <c r="A59" s="78"/>
      <c r="B59" s="105" t="s">
        <v>119</v>
      </c>
      <c r="C59" s="110">
        <f>C56-C57</f>
        <v>2159</v>
      </c>
      <c r="D59" s="110">
        <f>D56-D57</f>
        <v>2659</v>
      </c>
      <c r="E59" s="111">
        <f>E56-E57</f>
        <v>2612</v>
      </c>
      <c r="F59" s="106">
        <f>F56*$C$48</f>
        <v>2678.8387499999999</v>
      </c>
      <c r="G59" s="106">
        <f t="shared" ref="G59:H59" si="2">G56*$C$48</f>
        <v>2812.7806875000001</v>
      </c>
      <c r="H59" s="106">
        <f t="shared" si="2"/>
        <v>2953.4197218750005</v>
      </c>
    </row>
    <row r="60" spans="1:10" x14ac:dyDescent="0.25">
      <c r="A60" s="78"/>
      <c r="B60" s="92" t="s">
        <v>48</v>
      </c>
      <c r="C60" s="110">
        <f>C59*0.39</f>
        <v>842.01</v>
      </c>
      <c r="D60" s="110">
        <f t="shared" ref="D60:E60" si="3">D59*0.39</f>
        <v>1037.01</v>
      </c>
      <c r="E60" s="111">
        <f t="shared" si="3"/>
        <v>1018.6800000000001</v>
      </c>
      <c r="F60" s="110">
        <f>F59*$C$49</f>
        <v>1044.7471125</v>
      </c>
      <c r="G60" s="110">
        <f t="shared" ref="G60:H60" si="4">G59*$C$49</f>
        <v>1096.9844681250001</v>
      </c>
      <c r="H60" s="110">
        <f t="shared" si="4"/>
        <v>1151.8336915312502</v>
      </c>
    </row>
    <row r="61" spans="1:10" x14ac:dyDescent="0.25">
      <c r="A61" s="78"/>
      <c r="B61" s="78"/>
      <c r="C61" s="78"/>
      <c r="D61" s="78"/>
      <c r="E61" s="109"/>
      <c r="F61" s="78"/>
      <c r="G61" s="78"/>
      <c r="H61" s="78"/>
    </row>
    <row r="62" spans="1:10" x14ac:dyDescent="0.25">
      <c r="A62" s="78"/>
      <c r="B62" s="105" t="s">
        <v>120</v>
      </c>
      <c r="C62" s="110">
        <f>C59-C60</f>
        <v>1316.99</v>
      </c>
      <c r="D62" s="110">
        <f>D59-D60</f>
        <v>1621.99</v>
      </c>
      <c r="E62" s="111">
        <f>E59-E60</f>
        <v>1593.32</v>
      </c>
      <c r="F62" s="106">
        <f>F59-F60</f>
        <v>1634.0916374999999</v>
      </c>
      <c r="G62" s="106">
        <f t="shared" ref="G62:H62" si="5">G59-G60</f>
        <v>1715.796219375</v>
      </c>
      <c r="H62" s="106">
        <f t="shared" si="5"/>
        <v>1801.5860303437503</v>
      </c>
    </row>
    <row r="63" spans="1:10" x14ac:dyDescent="0.25">
      <c r="A63" s="78"/>
      <c r="B63" s="108" t="s">
        <v>28</v>
      </c>
      <c r="C63" s="106">
        <f>C34</f>
        <v>214.9</v>
      </c>
      <c r="D63" s="106">
        <f>D34</f>
        <v>293</v>
      </c>
      <c r="E63" s="107">
        <f>E34</f>
        <v>325</v>
      </c>
      <c r="F63" s="106">
        <f>F56*$C$50</f>
        <v>341.42062500000003</v>
      </c>
      <c r="G63" s="106">
        <f t="shared" ref="G63:H63" si="6">G56*$C$50</f>
        <v>358.49165625000006</v>
      </c>
      <c r="H63" s="106">
        <f t="shared" si="6"/>
        <v>376.41623906250004</v>
      </c>
    </row>
    <row r="64" spans="1:10" x14ac:dyDescent="0.25">
      <c r="A64" s="78"/>
      <c r="B64" s="92" t="s">
        <v>121</v>
      </c>
      <c r="C64" s="106">
        <f>-C35</f>
        <v>-323</v>
      </c>
      <c r="D64" s="106">
        <f>C37-D37-D35</f>
        <v>-886</v>
      </c>
      <c r="E64" s="107">
        <f>D37-E37-E35</f>
        <v>297</v>
      </c>
      <c r="F64" s="106">
        <f>-F56*$C$51</f>
        <v>-480.08992499999999</v>
      </c>
      <c r="G64" s="106">
        <f>-G56*$C$51</f>
        <v>-504.09442124999998</v>
      </c>
      <c r="H64" s="106">
        <f>-H56*$C$51</f>
        <v>-529.29914231250007</v>
      </c>
    </row>
    <row r="65" spans="1:8" ht="14.65" customHeight="1" x14ac:dyDescent="0.25">
      <c r="A65" s="78"/>
      <c r="B65" s="92" t="s">
        <v>122</v>
      </c>
      <c r="C65" s="60">
        <f>-C38</f>
        <v>-653</v>
      </c>
      <c r="D65" s="60">
        <f t="shared" ref="D65:E65" si="7">-D38</f>
        <v>-531</v>
      </c>
      <c r="E65" s="61">
        <f t="shared" si="7"/>
        <v>754</v>
      </c>
      <c r="F65" s="106">
        <f>E72-F72</f>
        <v>-153.64850000000024</v>
      </c>
      <c r="G65" s="112">
        <f>F72-G72</f>
        <v>-164.93242499999997</v>
      </c>
      <c r="H65" s="112">
        <f>G72-H72</f>
        <v>-173.17904625000028</v>
      </c>
    </row>
    <row r="66" spans="1:8" ht="14.65" customHeight="1" x14ac:dyDescent="0.25">
      <c r="A66" s="78"/>
      <c r="B66" s="92"/>
      <c r="C66" s="60"/>
      <c r="D66" s="60"/>
      <c r="E66" s="61"/>
      <c r="F66" s="60"/>
      <c r="G66" s="60"/>
      <c r="H66" s="60"/>
    </row>
    <row r="67" spans="1:8" x14ac:dyDescent="0.25">
      <c r="A67" s="78"/>
      <c r="B67" s="105" t="s">
        <v>29</v>
      </c>
      <c r="C67" s="110">
        <f>SUM(C62:C65)</f>
        <v>555.8900000000001</v>
      </c>
      <c r="D67" s="110">
        <f>SUM(D62:D65)</f>
        <v>497.99</v>
      </c>
      <c r="E67" s="111">
        <f>SUM(E62:E65)</f>
        <v>2969.3199999999997</v>
      </c>
      <c r="F67" s="106">
        <f>SUM(F62:F65)</f>
        <v>1341.7738374999997</v>
      </c>
      <c r="G67" s="106">
        <f t="shared" ref="G67:H67" si="8">SUM(G62:G65)</f>
        <v>1405.2610293750004</v>
      </c>
      <c r="H67" s="106">
        <f t="shared" si="8"/>
        <v>1475.5240808437502</v>
      </c>
    </row>
    <row r="68" spans="1:8" x14ac:dyDescent="0.25">
      <c r="A68" s="78"/>
      <c r="B68" s="92" t="s">
        <v>132</v>
      </c>
      <c r="C68" s="78"/>
      <c r="D68" s="78"/>
      <c r="E68" s="109"/>
      <c r="F68" s="106"/>
      <c r="G68" s="106"/>
      <c r="H68" s="113">
        <f>H67*(1+C44)/(C45-C44)</f>
        <v>58169.699340955543</v>
      </c>
    </row>
    <row r="69" spans="1:8" x14ac:dyDescent="0.25">
      <c r="A69" s="78"/>
      <c r="B69" s="92" t="s">
        <v>133</v>
      </c>
      <c r="C69" s="78"/>
      <c r="D69" s="78"/>
      <c r="E69" s="109"/>
      <c r="F69" s="106"/>
      <c r="G69" s="106"/>
      <c r="H69" s="113">
        <f>H67*(1+C44)/(C46-C44)</f>
        <v>27242.550840934691</v>
      </c>
    </row>
    <row r="70" spans="1:8" x14ac:dyDescent="0.25">
      <c r="A70" s="78"/>
      <c r="B70" s="78"/>
      <c r="C70" s="78"/>
      <c r="D70" s="78"/>
      <c r="E70" s="109"/>
      <c r="F70" s="78"/>
      <c r="G70" s="78"/>
      <c r="H70" s="78"/>
    </row>
    <row r="71" spans="1:8" x14ac:dyDescent="0.25">
      <c r="A71" s="78"/>
      <c r="B71" s="105" t="s">
        <v>52</v>
      </c>
      <c r="C71" s="78"/>
      <c r="D71" s="78"/>
      <c r="E71" s="114"/>
      <c r="F71" s="78"/>
      <c r="G71" s="78"/>
      <c r="H71" s="78"/>
    </row>
    <row r="72" spans="1:8" x14ac:dyDescent="0.25">
      <c r="A72" s="78"/>
      <c r="B72" s="92" t="s">
        <v>123</v>
      </c>
      <c r="C72" s="115">
        <f>C37</f>
        <v>3368</v>
      </c>
      <c r="D72" s="115">
        <f>D37</f>
        <v>3899</v>
      </c>
      <c r="E72" s="116">
        <f>E37</f>
        <v>3145</v>
      </c>
      <c r="F72" s="117">
        <f>$C$52*F56</f>
        <v>3298.6485000000002</v>
      </c>
      <c r="G72" s="117">
        <f>$C$52*G56</f>
        <v>3463.5809250000002</v>
      </c>
      <c r="H72" s="117">
        <f>$C$52*H56</f>
        <v>3636.7599712500005</v>
      </c>
    </row>
    <row r="73" spans="1:8" x14ac:dyDescent="0.25">
      <c r="A73" s="78"/>
      <c r="B73" s="92"/>
      <c r="C73" s="115"/>
      <c r="D73" s="115"/>
      <c r="E73" s="116"/>
      <c r="F73" s="117"/>
      <c r="G73" s="117"/>
      <c r="H73" s="117"/>
    </row>
    <row r="74" spans="1:8" x14ac:dyDescent="0.25">
      <c r="A74" s="78"/>
      <c r="B74" s="118" t="s">
        <v>118</v>
      </c>
      <c r="C74" s="78"/>
      <c r="D74" s="78"/>
      <c r="E74" s="109"/>
      <c r="F74" s="78"/>
      <c r="G74" s="78"/>
      <c r="H74" s="78"/>
    </row>
    <row r="75" spans="1:8" s="35" customFormat="1" x14ac:dyDescent="0.25">
      <c r="A75" s="105"/>
      <c r="B75" s="105" t="s">
        <v>30</v>
      </c>
      <c r="C75" s="105"/>
      <c r="D75" s="105"/>
      <c r="E75" s="119"/>
      <c r="F75" s="120">
        <f>F67+F68</f>
        <v>1341.7738374999997</v>
      </c>
      <c r="G75" s="120">
        <f>G67+G68</f>
        <v>1405.2610293750004</v>
      </c>
      <c r="H75" s="120">
        <f>H67+H68</f>
        <v>59645.223421799295</v>
      </c>
    </row>
    <row r="76" spans="1:8" ht="15.75" thickBot="1" x14ac:dyDescent="0.3">
      <c r="A76" s="78"/>
      <c r="B76" s="92" t="s">
        <v>124</v>
      </c>
      <c r="C76" s="78"/>
      <c r="D76" s="78"/>
      <c r="E76" s="121">
        <v>-37200</v>
      </c>
      <c r="F76" s="78"/>
      <c r="G76" s="78"/>
      <c r="H76" s="78"/>
    </row>
    <row r="77" spans="1:8" ht="15.75" thickBot="1" x14ac:dyDescent="0.3">
      <c r="A77" s="78"/>
      <c r="B77" s="122" t="s">
        <v>125</v>
      </c>
      <c r="C77" s="123"/>
      <c r="D77" s="124">
        <f>IRR(E77:H77,C45)</f>
        <v>0.19344175586005274</v>
      </c>
      <c r="E77" s="121">
        <f>E76</f>
        <v>-37200</v>
      </c>
      <c r="F77" s="110">
        <f>F75</f>
        <v>1341.7738374999997</v>
      </c>
      <c r="G77" s="110">
        <f>G75</f>
        <v>1405.2610293750004</v>
      </c>
      <c r="H77" s="110">
        <f>H75</f>
        <v>59645.223421799295</v>
      </c>
    </row>
    <row r="78" spans="1:8" x14ac:dyDescent="0.25">
      <c r="A78" s="78"/>
      <c r="B78" s="92" t="s">
        <v>126</v>
      </c>
      <c r="C78" s="78"/>
      <c r="D78" s="78"/>
      <c r="E78" s="114">
        <f>NPV(C45,E77:H77)</f>
        <v>15914.089900651683</v>
      </c>
      <c r="F78" s="78"/>
      <c r="G78" s="78"/>
      <c r="H78" s="78"/>
    </row>
    <row r="79" spans="1:8" x14ac:dyDescent="0.25">
      <c r="A79" s="78"/>
      <c r="B79" s="92"/>
      <c r="C79" s="78"/>
      <c r="D79" s="78"/>
      <c r="E79" s="114"/>
      <c r="F79" s="78"/>
      <c r="G79" s="78"/>
      <c r="H79" s="78"/>
    </row>
    <row r="80" spans="1:8" x14ac:dyDescent="0.25">
      <c r="A80" s="78"/>
      <c r="B80" s="118" t="s">
        <v>127</v>
      </c>
      <c r="C80" s="78"/>
      <c r="D80" s="78"/>
      <c r="E80" s="114"/>
      <c r="F80" s="78"/>
      <c r="G80" s="78"/>
      <c r="H80" s="78"/>
    </row>
    <row r="81" spans="1:8" ht="15.75" thickBot="1" x14ac:dyDescent="0.3">
      <c r="A81" s="78"/>
      <c r="B81" s="105" t="s">
        <v>30</v>
      </c>
      <c r="C81" s="78"/>
      <c r="D81" s="78"/>
      <c r="E81" s="121">
        <v>-37200</v>
      </c>
      <c r="F81" s="78"/>
      <c r="G81" s="78"/>
      <c r="H81" s="78"/>
    </row>
    <row r="82" spans="1:8" ht="15.75" thickBot="1" x14ac:dyDescent="0.3">
      <c r="A82" s="78"/>
      <c r="B82" s="122" t="s">
        <v>127</v>
      </c>
      <c r="C82" s="123"/>
      <c r="D82" s="124">
        <f>IRR(E82:H82,C46)</f>
        <v>-5.6560483593622535E-2</v>
      </c>
      <c r="E82" s="121">
        <f>E81</f>
        <v>-37200</v>
      </c>
      <c r="F82" s="106">
        <f>F67</f>
        <v>1341.7738374999997</v>
      </c>
      <c r="G82" s="106">
        <f>G67</f>
        <v>1405.2610293750004</v>
      </c>
      <c r="H82" s="110">
        <f>H69+H67</f>
        <v>28718.07492177844</v>
      </c>
    </row>
    <row r="83" spans="1:8" x14ac:dyDescent="0.25">
      <c r="A83" s="78"/>
      <c r="B83" s="92" t="s">
        <v>128</v>
      </c>
      <c r="C83" s="78"/>
      <c r="D83" s="78"/>
      <c r="E83" s="114">
        <f>NPV(C46,E82:H82)</f>
        <v>-11096.473264709417</v>
      </c>
      <c r="F83" s="78"/>
      <c r="G83" s="78"/>
      <c r="H83" s="78"/>
    </row>
    <row r="84" spans="1:8" x14ac:dyDescent="0.25">
      <c r="B84" s="40"/>
      <c r="E84" s="77"/>
    </row>
    <row r="86" spans="1:8" ht="93.75" customHeight="1" x14ac:dyDescent="0.25">
      <c r="A86" s="133"/>
      <c r="B86" s="142" t="s">
        <v>130</v>
      </c>
      <c r="C86" s="142"/>
      <c r="D86" s="142"/>
      <c r="E86" s="142"/>
      <c r="F86" s="142"/>
      <c r="G86" s="142"/>
      <c r="H86" s="142"/>
    </row>
    <row r="87" spans="1:8" ht="33.75" customHeight="1" x14ac:dyDescent="0.25">
      <c r="B87" s="142" t="s">
        <v>131</v>
      </c>
      <c r="C87" s="142"/>
      <c r="D87" s="142"/>
      <c r="E87" s="142"/>
      <c r="F87" s="142"/>
      <c r="G87" s="142"/>
      <c r="H87" s="142"/>
    </row>
    <row r="88" spans="1:8" ht="31.15" customHeight="1" x14ac:dyDescent="0.25">
      <c r="B88" s="142"/>
      <c r="C88" s="142"/>
      <c r="D88" s="142"/>
      <c r="E88" s="142"/>
      <c r="F88" s="142"/>
      <c r="G88" s="142"/>
      <c r="H88" s="142"/>
    </row>
    <row r="89" spans="1:8" ht="24" customHeight="1" x14ac:dyDescent="0.25">
      <c r="B89" s="50" t="s">
        <v>129</v>
      </c>
    </row>
    <row r="90" spans="1:8" x14ac:dyDescent="0.25">
      <c r="B90" s="40"/>
    </row>
  </sheetData>
  <mergeCells count="3">
    <mergeCell ref="B88:H88"/>
    <mergeCell ref="B86:H86"/>
    <mergeCell ref="B87:H87"/>
  </mergeCells>
  <pageMargins left="0.75" right="0.75" top="1" bottom="1" header="0.5" footer="0.5"/>
  <pageSetup scale="63" fitToHeight="0" orientation="portrait" r:id="rId1"/>
  <rowBreaks count="2" manualBreakCount="2">
    <brk id="39" max="16383" man="1"/>
    <brk id="89" max="9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14d7ef-47d2-49ec-98a2-beb62148fffe">2CPRT4FFDSWV-473764249-34557</_dlc_DocId>
    <_dlc_DocIdUrl xmlns="d314d7ef-47d2-49ec-98a2-beb62148fffe">
      <Url>http://www.wmcasemgmt.com/sites/casemanagement/_layouts/15/DocIdRedir.aspx?ID=2CPRT4FFDSWV-473764249-34557</Url>
      <Description>2CPRT4FFDSWV-473764249-34557</Description>
    </_dlc_DocIdUrl>
    <Content_x0020_Name xmlns="1fe5ebd6-dc4e-444c-b615-1b2eb36ecb43">17254</Content_x0020_Name>
    <File_x0020_Title xmlns="1fe5ebd6-dc4e-444c-b615-1b2eb36ecb43">14663</File_x0020_Title>
    <Converted_x0020_Content_x0020_Name xmlns="1fe5ebd6-dc4e-444c-b615-1b2eb36ecb43">F-1769TNX.XLSX</Converted_x0020_Content_x0020_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5396E5AC836A4A9A6CB1BB1B648CB3" ma:contentTypeVersion="10" ma:contentTypeDescription="Create a new document." ma:contentTypeScope="" ma:versionID="d7e1a1569c6b8ab5e81216688bca50fe">
  <xsd:schema xmlns:xsd="http://www.w3.org/2001/XMLSchema" xmlns:xs="http://www.w3.org/2001/XMLSchema" xmlns:p="http://schemas.microsoft.com/office/2006/metadata/properties" xmlns:ns2="1fe5ebd6-dc4e-444c-b615-1b2eb36ecb43" xmlns:ns3="d314d7ef-47d2-49ec-98a2-beb62148fffe" targetNamespace="http://schemas.microsoft.com/office/2006/metadata/properties" ma:root="true" ma:fieldsID="8d5ae2a9d5a90476b9f6e0661be67c7d" ns2:_="" ns3:_="">
    <xsd:import namespace="1fe5ebd6-dc4e-444c-b615-1b2eb36ecb43"/>
    <xsd:import namespace="d314d7ef-47d2-49ec-98a2-beb62148fffe"/>
    <xsd:element name="properties">
      <xsd:complexType>
        <xsd:sequence>
          <xsd:element name="documentManagement">
            <xsd:complexType>
              <xsd:all>
                <xsd:element ref="ns2:Converted_x0020_Content_x0020_Name" minOccurs="0"/>
                <xsd:element ref="ns2:File_x0020_Title" minOccurs="0"/>
                <xsd:element ref="ns2:File_x0020_Title_x003a_ID" minOccurs="0"/>
                <xsd:element ref="ns2:Content_x0020_Name" minOccurs="0"/>
                <xsd:element ref="ns3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5ebd6-dc4e-444c-b615-1b2eb36ecb43" elementFormDefault="qualified">
    <xsd:import namespace="http://schemas.microsoft.com/office/2006/documentManagement/types"/>
    <xsd:import namespace="http://schemas.microsoft.com/office/infopath/2007/PartnerControls"/>
    <xsd:element name="Converted_x0020_Content_x0020_Name" ma:index="8" nillable="true" ma:displayName="Converted Content Name" ma:internalName="Converted_x0020_Content_x0020_Name">
      <xsd:simpleType>
        <xsd:restriction base="dms:Text">
          <xsd:maxLength value="255"/>
        </xsd:restriction>
      </xsd:simpleType>
    </xsd:element>
    <xsd:element name="File_x0020_Title" ma:index="9" nillable="true" ma:displayName="File Title" ma:hidden="true" ma:list="{d04e6db4-d562-49e7-b071-c561677279a8}" ma:internalName="File_x0020_Title" ma:readOnly="false" ma:showField="ID">
      <xsd:simpleType>
        <xsd:restriction base="dms:Lookup"/>
      </xsd:simpleType>
    </xsd:element>
    <xsd:element name="File_x0020_Title_x003a_ID" ma:index="10" nillable="true" ma:displayName="File Title:ID" ma:list="{d04e6db4-d562-49e7-b071-c561677279a8}" ma:internalName="File_x0020_Title_x003a_ID" ma:readOnly="true" ma:showField="ID" ma:web="d314d7ef-47d2-49ec-98a2-beb62148fffe">
      <xsd:simpleType>
        <xsd:restriction base="dms:Lookup"/>
      </xsd:simpleType>
    </xsd:element>
    <xsd:element name="Content_x0020_Name" ma:index="12" nillable="true" ma:displayName="Content Name" ma:indexed="true" ma:list="{2a1dccef-5bbd-4239-9d2c-9dab3c3bdaeb}" ma:internalName="Content_x0020_Name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4d7ef-47d2-49ec-98a2-beb62148fff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AE550-6D15-4294-825A-EF90D2B18AB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314d7ef-47d2-49ec-98a2-beb62148fffe"/>
    <ds:schemaRef ds:uri="1fe5ebd6-dc4e-444c-b615-1b2eb36ecb4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BFDE4F-CC55-4EA8-83E9-8FC5FCC7EF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7D8745-795B-4F3D-93B2-8AC3135537B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9ECEB6C-5CF3-4CD0-8880-E429B52D2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e5ebd6-dc4e-444c-b615-1b2eb36ecb43"/>
    <ds:schemaRef ds:uri="d314d7ef-47d2-49ec-98a2-beb62148ff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Title Page</vt:lpstr>
      <vt:lpstr>Exh TN1 Supplemental Info</vt:lpstr>
      <vt:lpstr>Exh TN3 Equity Portfolio</vt:lpstr>
      <vt:lpstr>Exh TN4 WACC</vt:lpstr>
      <vt:lpstr>Exh TN5 DCF Valuation</vt:lpstr>
      <vt:lpstr>'Exh TN5 DCF Valuation'!_ftn1</vt:lpstr>
      <vt:lpstr>'Exh TN5 DCF Valuation'!_ftn2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Warren E. Buffett, 2015 (SPREADSHEET TN)</dc:title>
  <dc:subject/>
  <dc:creator>Jake DuBois</dc:creator>
  <cp:keywords/>
  <dc:description/>
  <cp:lastModifiedBy>Eades, Ken</cp:lastModifiedBy>
  <cp:lastPrinted>2016-11-18T22:39:45Z</cp:lastPrinted>
  <dcterms:created xsi:type="dcterms:W3CDTF">2016-10-10T19:47:46Z</dcterms:created>
  <dcterms:modified xsi:type="dcterms:W3CDTF">2017-12-15T20:25:51Z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0x010100EF5396E5AC836A4A9A6CB1BB1B648CB3</vt:lpwstr>
  </property>
  <property fmtid="{D5CDD505-2E9C-101B-9397-08002B2CF9AE}" pid="3" name="Order">
    <vt:r8>332300</vt:r8>
  </property>
  <property fmtid="{D5CDD505-2E9C-101B-9397-08002B2CF9AE}" pid="4" name="Submitter">
    <vt:lpwstr/>
  </property>
  <property fmtid="{D5CDD505-2E9C-101B-9397-08002B2CF9AE}" pid="5" name="Submitted By">
    <vt:lpwstr>MullinL@darden.virginia.edu</vt:lpwstr>
  </property>
  <property fmtid="{D5CDD505-2E9C-101B-9397-08002B2CF9AE}" pid="6" name="Reason For Rejection">
    <vt:lpwstr/>
  </property>
  <property fmtid="{D5CDD505-2E9C-101B-9397-08002B2CF9AE}" pid="7" name="Submission Status">
    <vt:lpwstr>Accepted</vt:lpwstr>
  </property>
  <property fmtid="{D5CDD505-2E9C-101B-9397-08002B2CF9AE}" pid="8" name="Task ID">
    <vt:lpwstr>49352</vt:lpwstr>
  </property>
  <property fmtid="{D5CDD505-2E9C-101B-9397-08002B2CF9AE}" pid="9" name="Upload Mode">
    <vt:lpwstr>Email</vt:lpwstr>
  </property>
  <property fmtid="{D5CDD505-2E9C-101B-9397-08002B2CF9AE}" pid="10" name="Acceptance Task ID">
    <vt:lpwstr>49357</vt:lpwstr>
  </property>
  <property fmtid="{D5CDD505-2E9C-101B-9397-08002B2CF9AE}" pid="11" name="Email Subject">
    <vt:lpwstr>Buffett 2015 revisions</vt:lpwstr>
  </property>
  <property fmtid="{D5CDD505-2E9C-101B-9397-08002B2CF9AE}" pid="12" name="Email Time Stamp">
    <vt:filetime>2017-10-26T14:16:57Z</vt:filetime>
  </property>
  <property fmtid="{D5CDD505-2E9C-101B-9397-08002B2CF9AE}" pid="13" name="Workflow Template Name">
    <vt:lpwstr>12</vt:lpwstr>
  </property>
  <property fmtid="{D5CDD505-2E9C-101B-9397-08002B2CF9AE}" pid="14" name="_dlc_DocIdItemGuid">
    <vt:lpwstr>58fa871f-d17a-4295-a1c8-8edb06021645</vt:lpwstr>
  </property>
  <property fmtid="{D5CDD505-2E9C-101B-9397-08002B2CF9AE}" pid="15" name="Faculty Sponsor">
    <vt:lpwstr>279;#Bruner, Robert F.</vt:lpwstr>
  </property>
  <property fmtid="{D5CDD505-2E9C-101B-9397-08002B2CF9AE}" pid="16" name="Content Type">
    <vt:lpwstr>9</vt:lpwstr>
  </property>
  <property fmtid="{D5CDD505-2E9C-101B-9397-08002B2CF9AE}" pid="17" name="Content_x0020_Type">
    <vt:lpwstr>9</vt:lpwstr>
  </property>
  <property fmtid="{D5CDD505-2E9C-101B-9397-08002B2CF9AE}" pid="18" name="Workflow_x0020_Instance_x0020_Name">
    <vt:lpwstr>5952</vt:lpwstr>
  </property>
  <property fmtid="{D5CDD505-2E9C-101B-9397-08002B2CF9AE}" pid="19" name="Product Type">
    <vt:lpwstr/>
  </property>
  <property fmtid="{D5CDD505-2E9C-101B-9397-08002B2CF9AE}" pid="20" name="Workflow Instance Name">
    <vt:lpwstr>5962</vt:lpwstr>
  </property>
  <property fmtid="{D5CDD505-2E9C-101B-9397-08002B2CF9AE}" pid="21" name="Target Audiences">
    <vt:lpwstr/>
  </property>
  <property fmtid="{D5CDD505-2E9C-101B-9397-08002B2CF9AE}" pid="22" name="Reviewer">
    <vt:lpwstr>279;#Bruner, Robert F.</vt:lpwstr>
  </property>
  <property fmtid="{D5CDD505-2E9C-101B-9397-08002B2CF9AE}" pid="23" name="Mode">
    <vt:lpwstr>1</vt:lpwstr>
  </property>
  <property fmtid="{D5CDD505-2E9C-101B-9397-08002B2CF9AE}" pid="24" name="Comments">
    <vt:lpwstr/>
  </property>
  <property fmtid="{D5CDD505-2E9C-101B-9397-08002B2CF9AE}" pid="25" name="xd_ProgID">
    <vt:lpwstr/>
  </property>
  <property fmtid="{D5CDD505-2E9C-101B-9397-08002B2CF9AE}" pid="26" name="TemplateUrl">
    <vt:lpwstr/>
  </property>
  <property fmtid="{D5CDD505-2E9C-101B-9397-08002B2CF9AE}" pid="27" name="_CopySource">
    <vt:lpwstr>http://www.wmcasemgmt.com/sites/casemanagement/Gold Library/F-1769TNX.XLSX</vt:lpwstr>
  </property>
</Properties>
</file>